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mestokaplice-my.sharepoint.com/personal/katerina_svobodova_mestokaplice_cz/Documents/Stavební akce/ČEVAK/vodojem Hradiště/"/>
    </mc:Choice>
  </mc:AlternateContent>
  <xr:revisionPtr revIDLastSave="12" documentId="13_ncr:1_{53609FB3-7CCF-43DD-8A57-9443362E3BB7}" xr6:coauthVersionLast="47" xr6:coauthVersionMax="47" xr10:uidLastSave="{8AFC52E4-6F78-4FB8-8C71-DE900D66D3D5}"/>
  <bookViews>
    <workbookView xWindow="-120" yWindow="-120" windowWidth="29040" windowHeight="15720" xr2:uid="{00000000-000D-0000-FFFF-FFFF00000000}"/>
  </bookViews>
  <sheets>
    <sheet name="Rekapitulace stavby" sheetId="1" r:id="rId1"/>
    <sheet name="Sanace vodojemu" sheetId="2" r:id="rId2"/>
    <sheet name="Stavební práce" sheetId="4" r:id="rId3"/>
  </sheets>
  <definedNames>
    <definedName name="_xlnm._FilterDatabase" localSheetId="1" hidden="1">'Sanace vodojemu'!$C$117:$K$139</definedName>
    <definedName name="_xlnm.Print_Titles" localSheetId="0">'Rekapitulace stavby'!$92:$92</definedName>
    <definedName name="_xlnm.Print_Titles" localSheetId="1">'Sanace vodojemu'!$117:$117</definedName>
    <definedName name="_xlnm.Print_Area" localSheetId="0">'Rekapitulace stavby'!$D$4:$AO$76,'Rekapitulace stavby'!$C$82:$AQ$96</definedName>
    <definedName name="_xlnm.Print_Area" localSheetId="1">'Sanace vodojemu'!$C$4:$J$76,'Sanace vodojemu'!$C$82:$J$101,'Sanace vodojemu'!$C$107:$J$139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4" l="1"/>
  <c r="J30" i="4"/>
  <c r="I30" i="4" s="1"/>
  <c r="I29" i="4" s="1"/>
  <c r="H30" i="4"/>
  <c r="L29" i="4"/>
  <c r="H29" i="4"/>
  <c r="L28" i="4"/>
  <c r="J28" i="4"/>
  <c r="L27" i="4"/>
  <c r="L26" i="4"/>
  <c r="J26" i="4"/>
  <c r="AB26" i="4" s="1"/>
  <c r="AK25" i="4" s="1"/>
  <c r="L25" i="4"/>
  <c r="L24" i="4"/>
  <c r="J24" i="4"/>
  <c r="L23" i="4"/>
  <c r="L22" i="4"/>
  <c r="J22" i="4"/>
  <c r="AB22" i="4" s="1"/>
  <c r="L21" i="4"/>
  <c r="L20" i="4" s="1"/>
  <c r="J21" i="4"/>
  <c r="L19" i="4"/>
  <c r="L18" i="4" s="1"/>
  <c r="J19" i="4"/>
  <c r="AB19" i="4" s="1"/>
  <c r="AK18" i="4" s="1"/>
  <c r="L17" i="4"/>
  <c r="L16" i="4" s="1"/>
  <c r="J17" i="4"/>
  <c r="AB17" i="4" s="1"/>
  <c r="AK16" i="4" s="1"/>
  <c r="L15" i="4"/>
  <c r="L12" i="4" s="1"/>
  <c r="J15" i="4"/>
  <c r="L14" i="4"/>
  <c r="J14" i="4"/>
  <c r="L13" i="4"/>
  <c r="J13" i="4"/>
  <c r="AF28" i="4"/>
  <c r="AE28" i="4"/>
  <c r="H28" i="4" s="1"/>
  <c r="AA28" i="4"/>
  <c r="AJ27" i="4" s="1"/>
  <c r="Z28" i="4"/>
  <c r="AI27" i="4" s="1"/>
  <c r="X27" i="4"/>
  <c r="V27" i="4"/>
  <c r="T27" i="4"/>
  <c r="AF26" i="4"/>
  <c r="AN26" i="4" s="1"/>
  <c r="AE26" i="4"/>
  <c r="AM26" i="4" s="1"/>
  <c r="AA26" i="4"/>
  <c r="Z26" i="4"/>
  <c r="AI25" i="4" s="1"/>
  <c r="O26" i="4"/>
  <c r="P25" i="4" s="1"/>
  <c r="AJ25" i="4"/>
  <c r="X25" i="4"/>
  <c r="V25" i="4"/>
  <c r="R25" i="4"/>
  <c r="AF24" i="4"/>
  <c r="AN24" i="4" s="1"/>
  <c r="AE24" i="4"/>
  <c r="AM24" i="4" s="1"/>
  <c r="AA24" i="4"/>
  <c r="AJ23" i="4" s="1"/>
  <c r="Z24" i="4"/>
  <c r="O24" i="4"/>
  <c r="P23" i="4" s="1"/>
  <c r="AI23" i="4"/>
  <c r="X23" i="4"/>
  <c r="V23" i="4"/>
  <c r="R23" i="4"/>
  <c r="AF22" i="4"/>
  <c r="AN22" i="4" s="1"/>
  <c r="AE22" i="4"/>
  <c r="H22" i="4" s="1"/>
  <c r="AA22" i="4"/>
  <c r="Z22" i="4"/>
  <c r="O22" i="4"/>
  <c r="AF21" i="4"/>
  <c r="AN21" i="4" s="1"/>
  <c r="AE21" i="4"/>
  <c r="H21" i="4" s="1"/>
  <c r="AA21" i="4"/>
  <c r="Z21" i="4"/>
  <c r="O21" i="4"/>
  <c r="AB21" i="4"/>
  <c r="X20" i="4"/>
  <c r="V20" i="4"/>
  <c r="T20" i="4"/>
  <c r="AF19" i="4"/>
  <c r="AN19" i="4" s="1"/>
  <c r="AE19" i="4"/>
  <c r="AM19" i="4" s="1"/>
  <c r="AA19" i="4"/>
  <c r="Z19" i="4"/>
  <c r="O19" i="4"/>
  <c r="P18" i="4" s="1"/>
  <c r="AJ18" i="4"/>
  <c r="AI18" i="4"/>
  <c r="X18" i="4"/>
  <c r="V18" i="4"/>
  <c r="T18" i="4"/>
  <c r="AF17" i="4"/>
  <c r="AN17" i="4" s="1"/>
  <c r="AE17" i="4"/>
  <c r="AM17" i="4" s="1"/>
  <c r="AA17" i="4"/>
  <c r="AJ16" i="4" s="1"/>
  <c r="Z17" i="4"/>
  <c r="AI16" i="4" s="1"/>
  <c r="O17" i="4"/>
  <c r="P16" i="4" s="1"/>
  <c r="X16" i="4"/>
  <c r="V16" i="4"/>
  <c r="T16" i="4"/>
  <c r="AF15" i="4"/>
  <c r="AN15" i="4" s="1"/>
  <c r="AE15" i="4"/>
  <c r="AM15" i="4" s="1"/>
  <c r="AA15" i="4"/>
  <c r="Z15" i="4"/>
  <c r="O15" i="4"/>
  <c r="AF14" i="4"/>
  <c r="AN14" i="4" s="1"/>
  <c r="AE14" i="4"/>
  <c r="H14" i="4" s="1"/>
  <c r="AA14" i="4"/>
  <c r="Z14" i="4"/>
  <c r="O14" i="4"/>
  <c r="AF13" i="4"/>
  <c r="AN13" i="4" s="1"/>
  <c r="AE13" i="4"/>
  <c r="AM13" i="4" s="1"/>
  <c r="AA13" i="4"/>
  <c r="Z13" i="4"/>
  <c r="O13" i="4"/>
  <c r="X12" i="4"/>
  <c r="V12" i="4"/>
  <c r="T12" i="4"/>
  <c r="J35" i="2"/>
  <c r="J34" i="2"/>
  <c r="AY95" i="1" s="1"/>
  <c r="J33" i="2"/>
  <c r="AX95" i="1"/>
  <c r="BI139" i="2"/>
  <c r="BH139" i="2"/>
  <c r="BG139" i="2"/>
  <c r="BF139" i="2"/>
  <c r="T139" i="2"/>
  <c r="T138" i="2" s="1"/>
  <c r="R139" i="2"/>
  <c r="R138" i="2" s="1"/>
  <c r="P139" i="2"/>
  <c r="P138" i="2"/>
  <c r="BI137" i="2"/>
  <c r="BH137" i="2"/>
  <c r="BG137" i="2"/>
  <c r="BF137" i="2"/>
  <c r="T137" i="2"/>
  <c r="T136" i="2"/>
  <c r="R137" i="2"/>
  <c r="R136" i="2"/>
  <c r="P137" i="2"/>
  <c r="P136" i="2" s="1"/>
  <c r="BI134" i="2"/>
  <c r="BH134" i="2"/>
  <c r="BG134" i="2"/>
  <c r="BF134" i="2"/>
  <c r="T134" i="2"/>
  <c r="T133" i="2" s="1"/>
  <c r="R134" i="2"/>
  <c r="R133" i="2"/>
  <c r="P134" i="2"/>
  <c r="P133" i="2" s="1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F32" i="2" s="1"/>
  <c r="T124" i="2"/>
  <c r="R124" i="2"/>
  <c r="P124" i="2"/>
  <c r="BI123" i="2"/>
  <c r="BH123" i="2"/>
  <c r="BG123" i="2"/>
  <c r="BF123" i="2"/>
  <c r="T123" i="2"/>
  <c r="R123" i="2"/>
  <c r="P123" i="2"/>
  <c r="BI122" i="2"/>
  <c r="BH122" i="2"/>
  <c r="BG122" i="2"/>
  <c r="BF122" i="2"/>
  <c r="T122" i="2"/>
  <c r="R122" i="2"/>
  <c r="P122" i="2"/>
  <c r="BI121" i="2"/>
  <c r="BH121" i="2"/>
  <c r="BG121" i="2"/>
  <c r="BF121" i="2"/>
  <c r="T121" i="2"/>
  <c r="R121" i="2"/>
  <c r="P121" i="2"/>
  <c r="F112" i="2"/>
  <c r="E110" i="2"/>
  <c r="F87" i="2"/>
  <c r="E85" i="2"/>
  <c r="J22" i="2"/>
  <c r="E22" i="2"/>
  <c r="J115" i="2" s="1"/>
  <c r="J21" i="2"/>
  <c r="J19" i="2"/>
  <c r="E19" i="2"/>
  <c r="J114" i="2" s="1"/>
  <c r="J18" i="2"/>
  <c r="J16" i="2"/>
  <c r="E16" i="2"/>
  <c r="F115" i="2" s="1"/>
  <c r="J15" i="2"/>
  <c r="J13" i="2"/>
  <c r="E13" i="2"/>
  <c r="F114" i="2" s="1"/>
  <c r="J12" i="2"/>
  <c r="L90" i="1"/>
  <c r="AM90" i="1"/>
  <c r="AM89" i="1"/>
  <c r="L89" i="1"/>
  <c r="AM87" i="1"/>
  <c r="L87" i="1"/>
  <c r="L85" i="1"/>
  <c r="L84" i="1"/>
  <c r="BK126" i="2"/>
  <c r="J123" i="2"/>
  <c r="J126" i="2"/>
  <c r="BK123" i="2"/>
  <c r="J139" i="2"/>
  <c r="BK137" i="2"/>
  <c r="J134" i="2"/>
  <c r="J132" i="2"/>
  <c r="J131" i="2"/>
  <c r="J130" i="2"/>
  <c r="BK128" i="2"/>
  <c r="J127" i="2"/>
  <c r="BK124" i="2"/>
  <c r="BK129" i="2"/>
  <c r="BK127" i="2"/>
  <c r="J125" i="2"/>
  <c r="BK122" i="2"/>
  <c r="AS94" i="1"/>
  <c r="J122" i="2"/>
  <c r="J121" i="2"/>
  <c r="BK139" i="2"/>
  <c r="J137" i="2"/>
  <c r="BK134" i="2"/>
  <c r="BK132" i="2"/>
  <c r="BK131" i="2"/>
  <c r="BK130" i="2"/>
  <c r="J129" i="2"/>
  <c r="J128" i="2"/>
  <c r="BK125" i="2"/>
  <c r="J124" i="2"/>
  <c r="BK121" i="2"/>
  <c r="F35" i="2" l="1"/>
  <c r="BD95" i="1" s="1"/>
  <c r="BD94" i="1" s="1"/>
  <c r="W33" i="1" s="1"/>
  <c r="F33" i="2"/>
  <c r="BB95" i="1" s="1"/>
  <c r="BB94" i="1" s="1"/>
  <c r="W31" i="1" s="1"/>
  <c r="F34" i="2"/>
  <c r="BC95" i="1" s="1"/>
  <c r="BC94" i="1" s="1"/>
  <c r="W32" i="1" s="1"/>
  <c r="J32" i="2"/>
  <c r="AW95" i="1" s="1"/>
  <c r="AM22" i="4"/>
  <c r="AM21" i="4"/>
  <c r="R135" i="2"/>
  <c r="I14" i="4"/>
  <c r="P135" i="2"/>
  <c r="AM14" i="4"/>
  <c r="AJ20" i="4"/>
  <c r="L31" i="4"/>
  <c r="I22" i="4"/>
  <c r="AI12" i="4"/>
  <c r="P20" i="4"/>
  <c r="J29" i="4"/>
  <c r="H27" i="4"/>
  <c r="I28" i="4"/>
  <c r="I27" i="4" s="1"/>
  <c r="H20" i="4"/>
  <c r="I21" i="4"/>
  <c r="P12" i="4"/>
  <c r="AI20" i="4"/>
  <c r="H13" i="4"/>
  <c r="H15" i="4"/>
  <c r="I15" i="4" s="1"/>
  <c r="H17" i="4"/>
  <c r="H19" i="4"/>
  <c r="H24" i="4"/>
  <c r="H26" i="4"/>
  <c r="AA29" i="4"/>
  <c r="AK20" i="4"/>
  <c r="Z29" i="4"/>
  <c r="W18" i="4"/>
  <c r="U18" i="4"/>
  <c r="W25" i="4"/>
  <c r="S25" i="4"/>
  <c r="W23" i="4"/>
  <c r="S23" i="4"/>
  <c r="U16" i="4"/>
  <c r="W16" i="4"/>
  <c r="U20" i="4"/>
  <c r="W20" i="4"/>
  <c r="AJ12" i="4"/>
  <c r="AB13" i="4"/>
  <c r="AB14" i="4"/>
  <c r="AB15" i="4"/>
  <c r="R20" i="4"/>
  <c r="AB24" i="4"/>
  <c r="AK23" i="4" s="1"/>
  <c r="T135" i="2"/>
  <c r="P120" i="2"/>
  <c r="P119" i="2" s="1"/>
  <c r="P118" i="2" s="1"/>
  <c r="AU95" i="1" s="1"/>
  <c r="AU94" i="1" s="1"/>
  <c r="BK120" i="2"/>
  <c r="J120" i="2" s="1"/>
  <c r="J96" i="2" s="1"/>
  <c r="R120" i="2"/>
  <c r="R119" i="2"/>
  <c r="R118" i="2" s="1"/>
  <c r="T120" i="2"/>
  <c r="T119" i="2" s="1"/>
  <c r="T118" i="2" s="1"/>
  <c r="BK133" i="2"/>
  <c r="J133" i="2" s="1"/>
  <c r="J97" i="2" s="1"/>
  <c r="BK136" i="2"/>
  <c r="J136" i="2" s="1"/>
  <c r="J99" i="2" s="1"/>
  <c r="BK138" i="2"/>
  <c r="J138" i="2"/>
  <c r="J100" i="2" s="1"/>
  <c r="F89" i="2"/>
  <c r="J89" i="2"/>
  <c r="F90" i="2"/>
  <c r="J90" i="2"/>
  <c r="BE121" i="2"/>
  <c r="BE122" i="2"/>
  <c r="BE123" i="2"/>
  <c r="BE124" i="2"/>
  <c r="BE125" i="2"/>
  <c r="BE126" i="2"/>
  <c r="BE127" i="2"/>
  <c r="BE128" i="2"/>
  <c r="BE129" i="2"/>
  <c r="BE130" i="2"/>
  <c r="BE131" i="2"/>
  <c r="BE132" i="2"/>
  <c r="BE134" i="2"/>
  <c r="BE137" i="2"/>
  <c r="BE139" i="2"/>
  <c r="BA95" i="1"/>
  <c r="BA94" i="1" s="1"/>
  <c r="W30" i="1" s="1"/>
  <c r="I20" i="4" l="1"/>
  <c r="S20" i="4" s="1"/>
  <c r="H23" i="4"/>
  <c r="I24" i="4"/>
  <c r="I23" i="4" s="1"/>
  <c r="U23" i="4" s="1"/>
  <c r="H12" i="4"/>
  <c r="I13" i="4"/>
  <c r="I12" i="4" s="1"/>
  <c r="S12" i="4" s="1"/>
  <c r="H25" i="4"/>
  <c r="I26" i="4"/>
  <c r="I25" i="4" s="1"/>
  <c r="U25" i="4" s="1"/>
  <c r="H18" i="4"/>
  <c r="I19" i="4"/>
  <c r="I18" i="4" s="1"/>
  <c r="S18" i="4" s="1"/>
  <c r="H16" i="4"/>
  <c r="R16" i="4" s="1"/>
  <c r="I17" i="4"/>
  <c r="I16" i="4" s="1"/>
  <c r="S16" i="4" s="1"/>
  <c r="J27" i="4"/>
  <c r="AK12" i="4"/>
  <c r="U12" i="4"/>
  <c r="W12" i="4"/>
  <c r="BK135" i="2"/>
  <c r="J135" i="2" s="1"/>
  <c r="J98" i="2" s="1"/>
  <c r="BK119" i="2"/>
  <c r="J119" i="2" s="1"/>
  <c r="J95" i="2" s="1"/>
  <c r="AW94" i="1"/>
  <c r="AK30" i="1" s="1"/>
  <c r="AX94" i="1"/>
  <c r="F31" i="2"/>
  <c r="AZ95" i="1" s="1"/>
  <c r="AZ94" i="1" s="1"/>
  <c r="J31" i="2"/>
  <c r="AV95" i="1" s="1"/>
  <c r="AT95" i="1" s="1"/>
  <c r="AY94" i="1"/>
  <c r="J20" i="4" l="1"/>
  <c r="J25" i="4"/>
  <c r="J16" i="4"/>
  <c r="J18" i="4"/>
  <c r="T25" i="4"/>
  <c r="R12" i="4"/>
  <c r="J12" i="4"/>
  <c r="R18" i="4"/>
  <c r="T23" i="4"/>
  <c r="J23" i="4"/>
  <c r="BK118" i="2"/>
  <c r="J118" i="2"/>
  <c r="J28" i="2" s="1"/>
  <c r="AG95" i="1" s="1"/>
  <c r="AV94" i="1"/>
  <c r="J31" i="4" l="1"/>
  <c r="AI96" i="1" s="1"/>
  <c r="J37" i="2"/>
  <c r="J94" i="2"/>
  <c r="AN95" i="1"/>
  <c r="AT94" i="1"/>
  <c r="AB28" i="4"/>
  <c r="AK27" i="4" s="1"/>
  <c r="AM28" i="4"/>
  <c r="AN28" i="4"/>
  <c r="R27" i="4" l="1"/>
  <c r="O28" i="4"/>
  <c r="P27" i="4" s="1"/>
  <c r="AB29" i="4"/>
  <c r="AN96" i="1" l="1"/>
  <c r="AN94" i="1" s="1"/>
  <c r="AK35" i="1" s="1"/>
  <c r="AG94" i="1"/>
  <c r="W27" i="4"/>
  <c r="U27" i="4"/>
  <c r="S27" i="4"/>
  <c r="AK26" i="1" l="1"/>
  <c r="AK29" i="1" s="1"/>
  <c r="W29" i="1"/>
</calcChain>
</file>

<file path=xl/sharedStrings.xml><?xml version="1.0" encoding="utf-8"?>
<sst xmlns="http://schemas.openxmlformats.org/spreadsheetml/2006/main" count="662" uniqueCount="272">
  <si>
    <t>Export Komplet</t>
  </si>
  <si>
    <t/>
  </si>
  <si>
    <t>2.0</t>
  </si>
  <si>
    <t>False</t>
  </si>
  <si>
    <t>{518915bf-d9a2-4415-a6b1-541b745fed75}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</si>
  <si>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</si>
  <si>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</si>
  <si>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</si>
  <si>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</si>
  <si>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</si>
  <si>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</si>
  <si>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</si>
  <si>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</si>
  <si>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Stavba:</t>
  </si>
  <si>
    <t>Sanace vodojemu</t>
  </si>
  <si>
    <t>KSO:</t>
  </si>
  <si>
    <t>CC-CZ:</t>
  </si>
  <si>
    <t>Místo:</t>
  </si>
  <si>
    <t>Hradiště u Kaplice</t>
  </si>
  <si>
    <t>Datum:</t>
  </si>
  <si>
    <t>Zadavatel: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</si>
  <si>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</si>
  <si>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</si>
  <si>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</si>
  <si>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</si>
  <si>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</si>
  <si>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</si>
  <si>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</si>
  <si>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</si>
  <si>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</si>
  <si>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</si>
  <si>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</si>
  <si>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</si>
  <si>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</si>
  <si>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</si>
  <si>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</si>
  <si>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</si>
  <si>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</si>
  <si>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</si>
  <si>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</si>
  <si>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</si>
  <si>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</si>
  <si>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</si>
  <si>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</si>
  <si>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</si>
  <si>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</si>
  <si>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</si>
  <si>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</si>
  <si>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</si>
  <si>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</si>
  <si>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</si>
  <si>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</si>
  <si>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</si>
  <si>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</si>
  <si>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</si>
  <si>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</si>
  <si>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</si>
  <si>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</si>
  <si>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</si>
  <si>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</si>
  <si>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</si>
  <si>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</si>
  <si>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</si>
  <si>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</si>
  <si>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</si>
  <si>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</si>
  <si>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</si>
  <si>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</si>
  <si>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</si>
  <si>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</si>
  <si>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</si>
  <si>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</si>
  <si>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</si>
  <si>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</si>
  <si>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</si>
  <si>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</si>
  <si>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</si>
  <si>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</si>
  <si>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</si>
  <si>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</si>
  <si>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</si>
  <si>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</si>
  <si>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</si>
  <si>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</si>
  <si>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 xml:space="preserve">    998 - Přesun hmot</t>
  </si>
  <si>
    <t>VRN - Vedlejší rozpočtové náklady</t>
  </si>
  <si>
    <t xml:space="preserve">    VRN3 - Zařízení staveniště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</si>
  <si>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</si>
  <si>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</si>
  <si>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</si>
  <si>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</si>
  <si>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</si>
  <si>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</si>
  <si>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</si>
  <si>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</si>
  <si>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</si>
  <si>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</si>
  <si>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</si>
  <si>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</si>
  <si>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</si>
  <si>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</si>
  <si>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</si>
  <si>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</si>
  <si>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</si>
  <si>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</si>
  <si>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</si>
  <si>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</si>
  <si>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985131111</t>
  </si>
  <si>
    <t>Očištění ploch stěn, rubu kleneb a podlah tlakovou vodou</t>
  </si>
  <si>
    <t>m2</t>
  </si>
  <si>
    <t>4</t>
  </si>
  <si>
    <t>-1484925862</t>
  </si>
  <si>
    <t>985132111</t>
  </si>
  <si>
    <t>715432662</t>
  </si>
  <si>
    <t>3</t>
  </si>
  <si>
    <t>985311111</t>
  </si>
  <si>
    <t>Reprofilace stěn cementovou sanační maltou tl do 10 mm</t>
  </si>
  <si>
    <t>566286881</t>
  </si>
  <si>
    <t>985324111</t>
  </si>
  <si>
    <t>-1395013315</t>
  </si>
  <si>
    <t>5</t>
  </si>
  <si>
    <t>985511113</t>
  </si>
  <si>
    <t>-1863396290</t>
  </si>
  <si>
    <t>6</t>
  </si>
  <si>
    <t>985511119</t>
  </si>
  <si>
    <t>Příplatek ke stříkanému betonu stěn ze suché směsi pevnosti min. 25 MPa ZKD 10 mm</t>
  </si>
  <si>
    <t>1846042915</t>
  </si>
  <si>
    <t>7</t>
  </si>
  <si>
    <t>985511213</t>
  </si>
  <si>
    <t>-607320679</t>
  </si>
  <si>
    <t>8</t>
  </si>
  <si>
    <t>985511219</t>
  </si>
  <si>
    <t>Příplatek ke stříkanému betonu líce kleneb a pohledů ze suché směsi pevnosti min. 25 MPa ZKD 10 mm</t>
  </si>
  <si>
    <t>-742519150</t>
  </si>
  <si>
    <t>985513111</t>
  </si>
  <si>
    <t>-985420857</t>
  </si>
  <si>
    <t>10</t>
  </si>
  <si>
    <t>985562312</t>
  </si>
  <si>
    <t>Výztuž stříkaného betonu stěn ze svařovaných sítí jednovrstvých D drátu 6 mm velikost ok přes 100 mm</t>
  </si>
  <si>
    <t>821040429</t>
  </si>
  <si>
    <t>11</t>
  </si>
  <si>
    <t>985562322</t>
  </si>
  <si>
    <t>Výztuž stříkaného betonu líce kleneb ze svařovaných sítí jednovrstvých D drátu 6 mm oka přes 100 mm</t>
  </si>
  <si>
    <t>1996738011</t>
  </si>
  <si>
    <t>985564212</t>
  </si>
  <si>
    <t>Kotvičky pro výztuž stříkaného betonu hl do 200 mm z oceli D přes 6 do 8 mm do chemické malty</t>
  </si>
  <si>
    <t>kus</t>
  </si>
  <si>
    <t>-1560339777</t>
  </si>
  <si>
    <t>998</t>
  </si>
  <si>
    <t>Přesun hmot</t>
  </si>
  <si>
    <t>13</t>
  </si>
  <si>
    <t>998011001</t>
  </si>
  <si>
    <t>Přesun hmot pro budovy zděné v do 6 m</t>
  </si>
  <si>
    <t>t</t>
  </si>
  <si>
    <t>-1243000308</t>
  </si>
  <si>
    <t>VRN</t>
  </si>
  <si>
    <t>Vedlejší rozpočtové náklady</t>
  </si>
  <si>
    <t>VRN3</t>
  </si>
  <si>
    <t>Zařízení staveniště</t>
  </si>
  <si>
    <t>14</t>
  </si>
  <si>
    <t>031002000</t>
  </si>
  <si>
    <t>Související (přípravné) práce pro zařízení staveniště</t>
  </si>
  <si>
    <t>kpl</t>
  </si>
  <si>
    <t>1024</t>
  </si>
  <si>
    <t>909312382</t>
  </si>
  <si>
    <t>VRN6</t>
  </si>
  <si>
    <t>Územní vlivy</t>
  </si>
  <si>
    <t>15</t>
  </si>
  <si>
    <t>060001000</t>
  </si>
  <si>
    <t>-236979142</t>
  </si>
  <si>
    <t>Očištění ploch líce kleneb a pohledů tlakovou vodou</t>
  </si>
  <si>
    <t>Stržení povrchu stříkaného betonu ze suchých směsí včetně zařezání strop a stěny vnitřní</t>
  </si>
  <si>
    <t>Stříkaný beton stěn ze suché směsi pevnosti min. 25 MPa tl 50 mm stěny vnitřní</t>
  </si>
  <si>
    <t>Stříkaný beton líce kleneb a pohledů ze suché směsi pevnosti min. 25 MPa tl 50 mm stěny vnější</t>
  </si>
  <si>
    <t>Impregnační nátěr betonu dvojnásobný S1 (OS-A) střecha</t>
  </si>
  <si>
    <t>Stavební rozpočet</t>
  </si>
  <si>
    <t>Název stavby:</t>
  </si>
  <si>
    <t>Vodojem Hradiště</t>
  </si>
  <si>
    <t>Doba výstavby:</t>
  </si>
  <si>
    <t>Objednatel:</t>
  </si>
  <si>
    <t>Město Kaplice</t>
  </si>
  <si>
    <t>Druh stavby:</t>
  </si>
  <si>
    <t>rekonstrukce stavby</t>
  </si>
  <si>
    <t>Začátek výstavby:</t>
  </si>
  <si>
    <t>Ing. Jaromír Rais</t>
  </si>
  <si>
    <t>Lokalita:</t>
  </si>
  <si>
    <t>Konec výstavby:</t>
  </si>
  <si>
    <t>JKSO:</t>
  </si>
  <si>
    <t>Zpracováno dne:</t>
  </si>
  <si>
    <t>Zpracoval:</t>
  </si>
  <si>
    <t>Č</t>
  </si>
  <si>
    <t>Zkrácený popis</t>
  </si>
  <si>
    <t>M.j.</t>
  </si>
  <si>
    <t>Jednot.</t>
  </si>
  <si>
    <t>Náklady (Kč)</t>
  </si>
  <si>
    <t>Hmotnost (t)</t>
  </si>
  <si>
    <t>Rozměry</t>
  </si>
  <si>
    <t>cena (Kč)</t>
  </si>
  <si>
    <t>Dodávka</t>
  </si>
  <si>
    <t>Montáž</t>
  </si>
  <si>
    <t>Celkem</t>
  </si>
  <si>
    <t>Přípravné a přidružené práce</t>
  </si>
  <si>
    <t>111104112R00</t>
  </si>
  <si>
    <t>Pokosení trávníku parter. svah do 1:2, odvoz 20 km</t>
  </si>
  <si>
    <t>115001101R00</t>
  </si>
  <si>
    <t>Převedení vody potrubím o průměru do DN 100 mm</t>
  </si>
  <si>
    <t>m</t>
  </si>
  <si>
    <t>115101201R00</t>
  </si>
  <si>
    <t>Čerpání vody na výšku do 10 m, přítok do 500 l/min</t>
  </si>
  <si>
    <t>h</t>
  </si>
  <si>
    <t>Odkopávky a prokopávky</t>
  </si>
  <si>
    <t>121103112R00</t>
  </si>
  <si>
    <t>Skrývka zemin ve sklonu 1:2</t>
  </si>
  <si>
    <t>m3</t>
  </si>
  <si>
    <t>63</t>
  </si>
  <si>
    <t>Podlahy a podlahové konstrukce</t>
  </si>
  <si>
    <t>639571205R00</t>
  </si>
  <si>
    <t>Okapový chodník podél budovy z kačírku tl. 50 mm</t>
  </si>
  <si>
    <t>639571311R00</t>
  </si>
  <si>
    <t>Okapový chodník - textilie proti prorůstání 45g/m2</t>
  </si>
  <si>
    <t>767</t>
  </si>
  <si>
    <t>Konstrukce doplňkové stavební (zámečnické)</t>
  </si>
  <si>
    <t>767990010RAD</t>
  </si>
  <si>
    <t>Atyp ocel. k-ce  pozink - lávka,  pochozí hliníkový plech, výplně otvorů</t>
  </si>
  <si>
    <t>kg</t>
  </si>
  <si>
    <t>HRADIŠTE</t>
  </si>
  <si>
    <t>998144471R00</t>
  </si>
  <si>
    <t>Přesun hmot, jímky a nádrže pozemní výšky do 25 m</t>
  </si>
  <si>
    <t>H14</t>
  </si>
  <si>
    <t>Nádrže a jímky čistíren vod a ostatní pozemní nádrže, jímky, zásobníky, jámy</t>
  </si>
  <si>
    <t>Stavební práce</t>
  </si>
  <si>
    <t>CZ5706260978</t>
  </si>
  <si>
    <t>Objekt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</si>
  <si>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</si>
  <si>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</si>
  <si>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</si>
  <si>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</si>
  <si>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</si>
  <si>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</si>
  <si>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</si>
  <si>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</si>
  <si>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</si>
  <si>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HS</t>
  </si>
  <si>
    <t>11_</t>
  </si>
  <si>
    <t>1_</t>
  </si>
  <si>
    <t>_</t>
  </si>
  <si>
    <t>12_</t>
  </si>
  <si>
    <t>62</t>
  </si>
  <si>
    <t>Úprava povrchů vnější</t>
  </si>
  <si>
    <t>622110040RAA</t>
  </si>
  <si>
    <t>Oprava omítek stěn vnějších kamenného zdiva</t>
  </si>
  <si>
    <t>62_</t>
  </si>
  <si>
    <t>6_</t>
  </si>
  <si>
    <t>63_</t>
  </si>
  <si>
    <t>762</t>
  </si>
  <si>
    <t>Konstrukce tesařské</t>
  </si>
  <si>
    <t>PS</t>
  </si>
  <si>
    <t>762900060RAA</t>
  </si>
  <si>
    <t>Demontáž dřevěné lávky včetně likvidace odpadu</t>
  </si>
  <si>
    <t>762_</t>
  </si>
  <si>
    <t>76_</t>
  </si>
  <si>
    <t>767_</t>
  </si>
  <si>
    <t>H14_</t>
  </si>
  <si>
    <t>9_</t>
  </si>
  <si>
    <t>Celkem:</t>
  </si>
  <si>
    <t>Cenová</t>
  </si>
  <si>
    <t>soustava</t>
  </si>
  <si>
    <t>RTS II / 2015</t>
  </si>
  <si>
    <t>711</t>
  </si>
  <si>
    <t>Izolace proti vodě</t>
  </si>
  <si>
    <t>711212111RT1</t>
  </si>
  <si>
    <t>Hydroizolační penetrační nátěr vnějších stěn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</si>
</sst>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18"/>
      <color indexed="8"/>
      <name val="Arial"/>
      <charset val="238"/>
    </font>
    <font>
      <sz val="10"/>
      <color indexed="8"/>
      <name val="Arial"/>
      <charset val="238"/>
    </font>
    <font>
      <b/>
      <sz val="10"/>
      <color indexed="8"/>
      <name val="Arial"/>
      <charset val="238"/>
    </font>
    <font>
      <b/>
      <sz val="10"/>
      <color indexed="56"/>
      <name val="Arial"/>
      <charset val="238"/>
    </font>
    <font>
      <sz val="10"/>
      <color indexed="61"/>
      <name val="Arial"/>
      <charset val="238"/>
    </font>
    <font>
      <i/>
      <sz val="8"/>
      <color indexed="8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57"/>
        <bgColor indexed="9"/>
      </patternFill>
    </fill>
  </fills>
  <borders count="4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4" fontId="22" fillId="0" borderId="20" xfId="0" applyNumberFormat="1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4" fontId="22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5" fillId="0" borderId="12" xfId="0" applyNumberFormat="1" applyFont="1" applyBorder="1"/>
    <xf numFmtId="166" fontId="25" fillId="0" borderId="13" xfId="0" applyNumberFormat="1" applyFont="1" applyBorder="1"/>
    <xf numFmtId="4" fontId="26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/>
    </xf>
    <xf numFmtId="4" fontId="31" fillId="0" borderId="0" xfId="0" applyNumberFormat="1" applyFont="1" applyAlignment="1">
      <alignment horizontal="right" vertical="center"/>
    </xf>
    <xf numFmtId="4" fontId="30" fillId="5" borderId="0" xfId="0" applyNumberFormat="1" applyFont="1" applyFill="1" applyAlignment="1">
      <alignment horizontal="right" vertical="center"/>
    </xf>
    <xf numFmtId="49" fontId="30" fillId="5" borderId="0" xfId="0" applyNumberFormat="1" applyFont="1" applyFill="1" applyAlignment="1">
      <alignment horizontal="right" vertical="center"/>
    </xf>
    <xf numFmtId="0" fontId="28" fillId="0" borderId="0" xfId="0" applyFont="1" applyAlignment="1">
      <alignment vertical="center"/>
    </xf>
    <xf numFmtId="0" fontId="28" fillId="0" borderId="26" xfId="0" applyFont="1" applyBorder="1" applyAlignment="1">
      <alignment vertical="center"/>
    </xf>
    <xf numFmtId="49" fontId="31" fillId="0" borderId="0" xfId="0" applyNumberFormat="1" applyFont="1" applyAlignment="1">
      <alignment horizontal="right" vertical="center"/>
    </xf>
    <xf numFmtId="4" fontId="28" fillId="0" borderId="0" xfId="0" applyNumberFormat="1" applyFont="1" applyAlignment="1">
      <alignment horizontal="right" vertical="center"/>
    </xf>
    <xf numFmtId="49" fontId="28" fillId="0" borderId="0" xfId="0" applyNumberFormat="1" applyFont="1" applyAlignment="1">
      <alignment horizontal="right" vertical="center"/>
    </xf>
    <xf numFmtId="4" fontId="29" fillId="0" borderId="0" xfId="0" applyNumberFormat="1" applyFont="1" applyAlignment="1">
      <alignment horizontal="right" vertical="center"/>
    </xf>
    <xf numFmtId="0" fontId="0" fillId="0" borderId="25" xfId="0" applyBorder="1" applyAlignment="1">
      <alignment vertical="center"/>
    </xf>
    <xf numFmtId="49" fontId="29" fillId="0" borderId="29" xfId="0" applyNumberFormat="1" applyFont="1" applyBorder="1" applyAlignment="1">
      <alignment horizontal="left" vertical="center"/>
    </xf>
    <xf numFmtId="49" fontId="29" fillId="0" borderId="30" xfId="0" applyNumberFormat="1" applyFont="1" applyBorder="1" applyAlignment="1">
      <alignment horizontal="left" vertical="center"/>
    </xf>
    <xf numFmtId="49" fontId="29" fillId="0" borderId="30" xfId="0" applyNumberFormat="1" applyFont="1" applyBorder="1" applyAlignment="1">
      <alignment horizontal="center" vertical="center"/>
    </xf>
    <xf numFmtId="49" fontId="29" fillId="0" borderId="31" xfId="0" applyNumberFormat="1" applyFont="1" applyBorder="1" applyAlignment="1">
      <alignment horizontal="center" vertical="center"/>
    </xf>
    <xf numFmtId="49" fontId="29" fillId="0" borderId="45" xfId="0" applyNumberFormat="1" applyFont="1" applyBorder="1" applyAlignment="1">
      <alignment horizontal="center" vertical="center"/>
    </xf>
    <xf numFmtId="49" fontId="28" fillId="0" borderId="35" xfId="0" applyNumberFormat="1" applyFont="1" applyBorder="1" applyAlignment="1">
      <alignment horizontal="left" vertical="center"/>
    </xf>
    <xf numFmtId="49" fontId="28" fillId="0" borderId="36" xfId="0" applyNumberFormat="1" applyFont="1" applyBorder="1" applyAlignment="1">
      <alignment horizontal="left" vertical="center"/>
    </xf>
    <xf numFmtId="49" fontId="29" fillId="0" borderId="36" xfId="0" applyNumberFormat="1" applyFont="1" applyBorder="1" applyAlignment="1">
      <alignment horizontal="left" vertical="center"/>
    </xf>
    <xf numFmtId="49" fontId="29" fillId="0" borderId="37" xfId="0" applyNumberFormat="1" applyFont="1" applyBorder="1" applyAlignment="1">
      <alignment horizontal="right" vertical="center"/>
    </xf>
    <xf numFmtId="49" fontId="29" fillId="0" borderId="38" xfId="0" applyNumberFormat="1" applyFont="1" applyBorder="1" applyAlignment="1">
      <alignment horizontal="center" vertical="center"/>
    </xf>
    <xf numFmtId="49" fontId="29" fillId="0" borderId="39" xfId="0" applyNumberFormat="1" applyFont="1" applyBorder="1" applyAlignment="1">
      <alignment horizontal="center" vertical="center"/>
    </xf>
    <xf numFmtId="49" fontId="29" fillId="0" borderId="40" xfId="0" applyNumberFormat="1" applyFont="1" applyBorder="1" applyAlignment="1">
      <alignment horizontal="center" vertical="center"/>
    </xf>
    <xf numFmtId="49" fontId="29" fillId="0" borderId="46" xfId="0" applyNumberFormat="1" applyFont="1" applyBorder="1" applyAlignment="1">
      <alignment horizontal="center" vertical="center"/>
    </xf>
    <xf numFmtId="49" fontId="30" fillId="0" borderId="41" xfId="0" applyNumberFormat="1" applyFont="1" applyBorder="1" applyAlignment="1">
      <alignment horizontal="right" vertical="center"/>
    </xf>
    <xf numFmtId="49" fontId="30" fillId="0" borderId="0" xfId="0" applyNumberFormat="1" applyFont="1" applyAlignment="1">
      <alignment horizontal="right" vertical="center"/>
    </xf>
    <xf numFmtId="49" fontId="31" fillId="0" borderId="23" xfId="0" applyNumberFormat="1" applyFont="1" applyBorder="1" applyAlignment="1">
      <alignment horizontal="right" vertical="center"/>
    </xf>
    <xf numFmtId="0" fontId="28" fillId="0" borderId="25" xfId="0" applyFont="1" applyBorder="1" applyAlignment="1">
      <alignment vertical="center"/>
    </xf>
    <xf numFmtId="4" fontId="29" fillId="0" borderId="25" xfId="0" applyNumberFormat="1" applyFont="1" applyBorder="1" applyAlignment="1">
      <alignment horizontal="right" vertical="center"/>
    </xf>
    <xf numFmtId="49" fontId="32" fillId="0" borderId="0" xfId="0" applyNumberFormat="1" applyFont="1" applyAlignment="1">
      <alignment horizontal="left" vertical="center"/>
    </xf>
    <xf numFmtId="49" fontId="33" fillId="0" borderId="41" xfId="0" applyNumberFormat="1" applyFont="1" applyBorder="1" applyAlignment="1">
      <alignment horizontal="left" vertical="center"/>
    </xf>
    <xf numFmtId="49" fontId="34" fillId="0" borderId="41" xfId="0" applyNumberFormat="1" applyFont="1" applyBorder="1" applyAlignment="1">
      <alignment horizontal="left" vertical="center"/>
    </xf>
    <xf numFmtId="4" fontId="34" fillId="0" borderId="41" xfId="0" applyNumberFormat="1" applyFont="1" applyBorder="1" applyAlignment="1">
      <alignment horizontal="right" vertical="center"/>
    </xf>
    <xf numFmtId="49" fontId="34" fillId="0" borderId="41" xfId="0" applyNumberFormat="1" applyFont="1" applyBorder="1" applyAlignment="1">
      <alignment horizontal="right" vertical="center"/>
    </xf>
    <xf numFmtId="49" fontId="33" fillId="0" borderId="0" xfId="0" applyNumberFormat="1" applyFont="1" applyAlignment="1">
      <alignment horizontal="left" vertical="center"/>
    </xf>
    <xf numFmtId="4" fontId="33" fillId="0" borderId="0" xfId="0" applyNumberFormat="1" applyFont="1" applyAlignment="1">
      <alignment horizontal="right" vertical="center"/>
    </xf>
    <xf numFmtId="49" fontId="34" fillId="0" borderId="0" xfId="0" applyNumberFormat="1" applyFont="1" applyAlignment="1">
      <alignment horizontal="left" vertical="center"/>
    </xf>
    <xf numFmtId="4" fontId="34" fillId="0" borderId="0" xfId="0" applyNumberFormat="1" applyFont="1" applyAlignment="1">
      <alignment horizontal="right" vertical="center"/>
    </xf>
    <xf numFmtId="49" fontId="34" fillId="0" borderId="0" xfId="0" applyNumberFormat="1" applyFont="1" applyAlignment="1">
      <alignment horizontal="right" vertical="center"/>
    </xf>
    <xf numFmtId="49" fontId="33" fillId="0" borderId="23" xfId="0" applyNumberFormat="1" applyFont="1" applyBorder="1" applyAlignment="1">
      <alignment horizontal="left" vertical="center"/>
    </xf>
    <xf numFmtId="4" fontId="33" fillId="0" borderId="23" xfId="0" applyNumberFormat="1" applyFont="1" applyBorder="1" applyAlignment="1">
      <alignment horizontal="right" vertical="center"/>
    </xf>
    <xf numFmtId="4" fontId="28" fillId="0" borderId="25" xfId="0" applyNumberFormat="1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3" xfId="0" applyBorder="1"/>
    <xf numFmtId="0" fontId="0" fillId="0" borderId="26" xfId="0" applyBorder="1" applyAlignment="1">
      <alignment vertical="center"/>
    </xf>
    <xf numFmtId="0" fontId="0" fillId="0" borderId="26" xfId="0" applyBorder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horizontal="center" vertical="center"/>
    </xf>
    <xf numFmtId="4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43" xfId="0" applyFont="1" applyBorder="1" applyAlignment="1">
      <alignment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8" fillId="0" borderId="43" xfId="0" applyFont="1" applyBorder="1" applyAlignment="1">
      <alignment horizontal="left" vertical="center"/>
    </xf>
    <xf numFmtId="49" fontId="27" fillId="0" borderId="23" xfId="0" applyNumberFormat="1" applyFont="1" applyBorder="1" applyAlignment="1">
      <alignment horizontal="center"/>
    </xf>
    <xf numFmtId="0" fontId="27" fillId="0" borderId="23" xfId="0" applyFont="1" applyBorder="1" applyAlignment="1">
      <alignment horizontal="center" vertical="center"/>
    </xf>
    <xf numFmtId="0" fontId="28" fillId="0" borderId="24" xfId="0" applyFont="1" applyBorder="1" applyAlignment="1">
      <alignment horizontal="left" vertical="center" wrapText="1"/>
    </xf>
    <xf numFmtId="0" fontId="28" fillId="0" borderId="25" xfId="0" applyFont="1" applyBorder="1" applyAlignment="1">
      <alignment horizontal="left" vertical="center"/>
    </xf>
    <xf numFmtId="0" fontId="28" fillId="0" borderId="26" xfId="0" applyFont="1" applyBorder="1" applyAlignment="1">
      <alignment horizontal="left" vertical="center"/>
    </xf>
    <xf numFmtId="0" fontId="29" fillId="0" borderId="2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49" fontId="28" fillId="0" borderId="25" xfId="0" applyNumberFormat="1" applyFont="1" applyBorder="1" applyAlignment="1">
      <alignment horizontal="left" vertical="center"/>
    </xf>
    <xf numFmtId="0" fontId="28" fillId="0" borderId="25" xfId="0" applyFont="1" applyBorder="1" applyAlignment="1">
      <alignment horizontal="left" vertical="center" wrapText="1"/>
    </xf>
    <xf numFmtId="0" fontId="28" fillId="0" borderId="42" xfId="0" applyFont="1" applyBorder="1" applyAlignment="1">
      <alignment horizontal="left" vertical="center"/>
    </xf>
    <xf numFmtId="0" fontId="28" fillId="0" borderId="26" xfId="0" applyFont="1" applyBorder="1" applyAlignment="1">
      <alignment horizontal="left" vertical="center" wrapText="1"/>
    </xf>
    <xf numFmtId="49" fontId="28" fillId="0" borderId="0" xfId="0" applyNumberFormat="1" applyFont="1" applyAlignment="1">
      <alignment horizontal="left" vertical="center"/>
    </xf>
    <xf numFmtId="0" fontId="28" fillId="0" borderId="28" xfId="0" applyFont="1" applyBorder="1" applyAlignment="1">
      <alignment horizontal="left" vertical="center"/>
    </xf>
    <xf numFmtId="0" fontId="28" fillId="0" borderId="44" xfId="0" applyFont="1" applyBorder="1" applyAlignment="1">
      <alignment horizontal="left" vertical="center"/>
    </xf>
    <xf numFmtId="49" fontId="34" fillId="0" borderId="0" xfId="0" applyNumberFormat="1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8" fillId="0" borderId="27" xfId="0" applyFont="1" applyBorder="1" applyAlignment="1">
      <alignment horizontal="left" vertical="center"/>
    </xf>
    <xf numFmtId="14" fontId="28" fillId="0" borderId="0" xfId="0" applyNumberFormat="1" applyFont="1" applyAlignment="1">
      <alignment horizontal="left" vertical="center"/>
    </xf>
    <xf numFmtId="49" fontId="29" fillId="0" borderId="32" xfId="0" applyNumberFormat="1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49" fontId="34" fillId="0" borderId="41" xfId="0" applyNumberFormat="1" applyFont="1" applyBorder="1" applyAlignment="1">
      <alignment horizontal="left" vertical="center"/>
    </xf>
    <xf numFmtId="0" fontId="34" fillId="0" borderId="41" xfId="0" applyFont="1" applyBorder="1" applyAlignment="1">
      <alignment horizontal="left" vertical="center"/>
    </xf>
    <xf numFmtId="49" fontId="29" fillId="0" borderId="25" xfId="0" applyNumberFormat="1" applyFont="1" applyBorder="1" applyAlignment="1">
      <alignment horizontal="left" vertical="center"/>
    </xf>
    <xf numFmtId="0" fontId="29" fillId="0" borderId="25" xfId="0" applyFont="1" applyBorder="1" applyAlignment="1">
      <alignment horizontal="left" vertical="center"/>
    </xf>
  </cellXfs>
  <cellStyles count="1"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>
      <selection activeCell="J80" sqref="J80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7" width="2.6640625" customWidth="1"/>
    <col min="8" max="8" width="4" customWidth="1"/>
    <col min="9" max="31" width="2.6640625" customWidth="1"/>
    <col min="32" max="32" width="2.33203125" customWidth="1"/>
    <col min="33" max="33" width="2.6640625" hidden="1" customWidth="1"/>
    <col min="34" max="34" width="3.33203125" customWidth="1"/>
    <col min="35" max="35" width="3.5" customWidth="1"/>
    <col min="36" max="37" width="2.5" customWidth="1"/>
    <col min="38" max="38" width="8.33203125" customWidth="1"/>
    <col min="39" max="39" width="2.83203125" customWidth="1"/>
    <col min="40" max="40" width="10.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 x14ac:dyDescent="0.2">
      <c r="AR2" s="194" t="s">
        <v>5</v>
      </c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S2" s="13" t="s">
        <v>6</v>
      </c>
      <c r="BT2" s="13" t="s">
        <v>7</v>
      </c>
    </row>
    <row r="3" spans="1:74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 x14ac:dyDescent="0.2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 x14ac:dyDescent="0.2">
      <c r="B5" s="16"/>
      <c r="D5" s="19" t="s">
        <v>12</v>
      </c>
      <c r="K5" s="181" t="s">
        <v>225</v>
      </c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R5" s="16"/>
      <c r="BS5" s="13" t="s">
        <v>6</v>
      </c>
    </row>
    <row r="6" spans="1:74" ht="36.950000000000003" customHeight="1" x14ac:dyDescent="0.2">
      <c r="B6" s="16"/>
      <c r="D6" s="21" t="s">
        <v>13</v>
      </c>
      <c r="K6" s="183" t="s">
        <v>14</v>
      </c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R6" s="16"/>
      <c r="BS6" s="13" t="s">
        <v>6</v>
      </c>
    </row>
    <row r="7" spans="1:74" ht="12" customHeight="1" x14ac:dyDescent="0.2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 x14ac:dyDescent="0.2">
      <c r="B8" s="16"/>
      <c r="D8" s="22" t="s">
        <v>17</v>
      </c>
      <c r="K8" s="20" t="s">
        <v>18</v>
      </c>
      <c r="AK8" s="22" t="s">
        <v>19</v>
      </c>
      <c r="AN8" s="188">
        <v>45922</v>
      </c>
      <c r="AO8" s="188"/>
      <c r="AR8" s="16"/>
      <c r="BS8" s="13" t="s">
        <v>6</v>
      </c>
    </row>
    <row r="9" spans="1:74" ht="14.45" customHeight="1" x14ac:dyDescent="0.2">
      <c r="B9" s="16"/>
      <c r="AR9" s="16"/>
      <c r="BS9" s="13" t="s">
        <v>6</v>
      </c>
    </row>
    <row r="10" spans="1:74" ht="12" customHeight="1" x14ac:dyDescent="0.2">
      <c r="B10" s="16"/>
      <c r="D10" s="22" t="s">
        <v>20</v>
      </c>
      <c r="AK10" s="22" t="s">
        <v>21</v>
      </c>
      <c r="AN10" s="20" t="s">
        <v>1</v>
      </c>
      <c r="AR10" s="16"/>
      <c r="BS10" s="13" t="s">
        <v>6</v>
      </c>
    </row>
    <row r="11" spans="1:74" ht="18.399999999999999" customHeight="1" x14ac:dyDescent="0.2">
      <c r="B11" s="16"/>
      <c r="E11" s="20" t="s">
        <v>22</v>
      </c>
      <c r="AK11" s="22" t="s">
        <v>23</v>
      </c>
      <c r="AN11" s="20" t="s">
        <v>1</v>
      </c>
      <c r="AR11" s="16"/>
      <c r="BS11" s="13" t="s">
        <v>6</v>
      </c>
    </row>
    <row r="12" spans="1:74" ht="6.95" customHeight="1" x14ac:dyDescent="0.2">
      <c r="B12" s="16"/>
      <c r="AR12" s="16"/>
      <c r="BS12" s="13" t="s">
        <v>6</v>
      </c>
    </row>
    <row r="13" spans="1:74" ht="12" customHeight="1" x14ac:dyDescent="0.2">
      <c r="B13" s="16"/>
      <c r="D13" s="22" t="s">
        <v>24</v>
      </c>
      <c r="AK13" s="22" t="s">
        <v>21</v>
      </c>
      <c r="AN13" s="20" t="s">
        <v>1</v>
      </c>
      <c r="AR13" s="16"/>
      <c r="BS13" s="13" t="s">
        <v>6</v>
      </c>
    </row>
    <row r="14" spans="1:74" ht="12.75" x14ac:dyDescent="0.2">
      <c r="B14" s="16"/>
      <c r="E14" s="20" t="s">
        <v>22</v>
      </c>
      <c r="AK14" s="22" t="s">
        <v>23</v>
      </c>
      <c r="AN14" s="20" t="s">
        <v>1</v>
      </c>
      <c r="AR14" s="16"/>
      <c r="BS14" s="13" t="s">
        <v>6</v>
      </c>
    </row>
    <row r="15" spans="1:74" ht="6.95" customHeight="1" x14ac:dyDescent="0.2">
      <c r="B15" s="16"/>
      <c r="AR15" s="16"/>
      <c r="BS15" s="13" t="s">
        <v>3</v>
      </c>
    </row>
    <row r="16" spans="1:74" ht="12" customHeight="1" x14ac:dyDescent="0.2">
      <c r="B16" s="16"/>
      <c r="D16" s="22" t="s">
        <v>25</v>
      </c>
      <c r="K16" t="s">
        <v>184</v>
      </c>
      <c r="AK16" s="22" t="s">
        <v>21</v>
      </c>
      <c r="AN16" s="20">
        <v>63280264</v>
      </c>
      <c r="AR16" s="16"/>
      <c r="BS16" s="13" t="s">
        <v>3</v>
      </c>
    </row>
    <row r="17" spans="2:71" ht="18.399999999999999" customHeight="1" x14ac:dyDescent="0.2">
      <c r="B17" s="16"/>
      <c r="E17" s="20" t="s">
        <v>22</v>
      </c>
      <c r="AK17" s="22" t="s">
        <v>23</v>
      </c>
      <c r="AN17" s="20" t="s">
        <v>231</v>
      </c>
      <c r="AR17" s="16"/>
      <c r="BS17" s="13" t="s">
        <v>26</v>
      </c>
    </row>
    <row r="18" spans="2:71" ht="6.95" customHeight="1" x14ac:dyDescent="0.2">
      <c r="B18" s="16"/>
      <c r="AR18" s="16"/>
      <c r="BS18" s="13" t="s">
        <v>6</v>
      </c>
    </row>
    <row r="19" spans="2:71" ht="12" customHeight="1" x14ac:dyDescent="0.2">
      <c r="B19" s="16"/>
      <c r="D19" s="22" t="s">
        <v>27</v>
      </c>
      <c r="AK19" s="22" t="s">
        <v>21</v>
      </c>
      <c r="AN19" s="20" t="s">
        <v>1</v>
      </c>
      <c r="AR19" s="16"/>
      <c r="BS19" s="13" t="s">
        <v>6</v>
      </c>
    </row>
    <row r="20" spans="2:71" ht="18.399999999999999" customHeight="1" x14ac:dyDescent="0.2">
      <c r="B20" s="16"/>
      <c r="E20" s="20" t="s">
        <v>22</v>
      </c>
      <c r="AK20" s="22" t="s">
        <v>23</v>
      </c>
      <c r="AN20" s="20" t="s">
        <v>1</v>
      </c>
      <c r="AR20" s="16"/>
      <c r="BS20" s="13" t="s">
        <v>26</v>
      </c>
    </row>
    <row r="21" spans="2:71" ht="6.95" customHeight="1" x14ac:dyDescent="0.2">
      <c r="B21" s="16"/>
      <c r="AR21" s="16"/>
    </row>
    <row r="22" spans="2:71" ht="12" customHeight="1" x14ac:dyDescent="0.2">
      <c r="B22" s="16"/>
      <c r="D22" s="22" t="s">
        <v>28</v>
      </c>
      <c r="AR22" s="16"/>
    </row>
    <row r="23" spans="2:71" ht="16.5" customHeight="1" x14ac:dyDescent="0.2">
      <c r="B23" s="16"/>
      <c r="E23" s="184" t="s">
        <v>1</v>
      </c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R23" s="16"/>
    </row>
    <row r="24" spans="2:71" ht="6.95" customHeight="1" x14ac:dyDescent="0.2">
      <c r="B24" s="16"/>
      <c r="AR24" s="16"/>
    </row>
    <row r="25" spans="2:71" ht="6.95" customHeight="1" x14ac:dyDescent="0.2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 x14ac:dyDescent="0.2">
      <c r="B26" s="25"/>
      <c r="D26" s="26" t="s">
        <v>29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85">
        <f>+AG94</f>
        <v>0</v>
      </c>
      <c r="AL26" s="186"/>
      <c r="AM26" s="186"/>
      <c r="AN26" s="186"/>
      <c r="AO26" s="186"/>
      <c r="AR26" s="25"/>
    </row>
    <row r="27" spans="2:71" s="1" customFormat="1" ht="6.95" customHeight="1" x14ac:dyDescent="0.2">
      <c r="B27" s="25"/>
      <c r="AR27" s="25"/>
    </row>
    <row r="28" spans="2:71" s="1" customFormat="1" ht="12.75" x14ac:dyDescent="0.2">
      <c r="B28" s="25"/>
      <c r="L28" s="187" t="s">
        <v>30</v>
      </c>
      <c r="M28" s="187"/>
      <c r="N28" s="187"/>
      <c r="O28" s="187"/>
      <c r="P28" s="187"/>
      <c r="W28" s="187" t="s">
        <v>31</v>
      </c>
      <c r="X28" s="187"/>
      <c r="Y28" s="187"/>
      <c r="Z28" s="187"/>
      <c r="AA28" s="187"/>
      <c r="AB28" s="187"/>
      <c r="AC28" s="187"/>
      <c r="AD28" s="187"/>
      <c r="AE28" s="187"/>
      <c r="AK28" s="187" t="s">
        <v>32</v>
      </c>
      <c r="AL28" s="187"/>
      <c r="AM28" s="187"/>
      <c r="AN28" s="187"/>
      <c r="AO28" s="187"/>
      <c r="AR28" s="25"/>
    </row>
    <row r="29" spans="2:71" s="2" customFormat="1" ht="14.45" customHeight="1" x14ac:dyDescent="0.2">
      <c r="B29" s="29"/>
      <c r="D29" s="22" t="s">
        <v>33</v>
      </c>
      <c r="F29" s="22" t="s">
        <v>34</v>
      </c>
      <c r="L29" s="191">
        <v>0.21</v>
      </c>
      <c r="M29" s="190"/>
      <c r="N29" s="190"/>
      <c r="O29" s="190"/>
      <c r="P29" s="190"/>
      <c r="W29" s="189">
        <f>+AG94</f>
        <v>0</v>
      </c>
      <c r="X29" s="190"/>
      <c r="Y29" s="190"/>
      <c r="Z29" s="190"/>
      <c r="AA29" s="190"/>
      <c r="AB29" s="190"/>
      <c r="AC29" s="190"/>
      <c r="AD29" s="190"/>
      <c r="AE29" s="190"/>
      <c r="AK29" s="189">
        <f>+AK26*0.21</f>
        <v>0</v>
      </c>
      <c r="AL29" s="190"/>
      <c r="AM29" s="190"/>
      <c r="AN29" s="190"/>
      <c r="AO29" s="190"/>
      <c r="AR29" s="29"/>
    </row>
    <row r="30" spans="2:71" s="2" customFormat="1" ht="14.45" customHeight="1" x14ac:dyDescent="0.2">
      <c r="B30" s="29"/>
      <c r="F30" s="22" t="s">
        <v>35</v>
      </c>
      <c r="L30" s="191">
        <v>0.12</v>
      </c>
      <c r="M30" s="190"/>
      <c r="N30" s="190"/>
      <c r="O30" s="190"/>
      <c r="P30" s="190"/>
      <c r="W30" s="189">
        <f>ROUND(BA94, 2)</f>
        <v>0</v>
      </c>
      <c r="X30" s="190"/>
      <c r="Y30" s="190"/>
      <c r="Z30" s="190"/>
      <c r="AA30" s="190"/>
      <c r="AB30" s="190"/>
      <c r="AC30" s="190"/>
      <c r="AD30" s="190"/>
      <c r="AE30" s="190"/>
      <c r="AK30" s="189">
        <f>ROUND(AW94, 2)</f>
        <v>0</v>
      </c>
      <c r="AL30" s="190"/>
      <c r="AM30" s="190"/>
      <c r="AN30" s="190"/>
      <c r="AO30" s="190"/>
      <c r="AR30" s="29"/>
    </row>
    <row r="31" spans="2:71" s="2" customFormat="1" ht="14.45" hidden="1" customHeight="1" x14ac:dyDescent="0.2">
      <c r="B31" s="29"/>
      <c r="F31" s="22" t="s">
        <v>36</v>
      </c>
      <c r="L31" s="191">
        <v>0.21</v>
      </c>
      <c r="M31" s="190"/>
      <c r="N31" s="190"/>
      <c r="O31" s="190"/>
      <c r="P31" s="190"/>
      <c r="W31" s="189">
        <f>ROUND(BB94, 2)</f>
        <v>0</v>
      </c>
      <c r="X31" s="190"/>
      <c r="Y31" s="190"/>
      <c r="Z31" s="190"/>
      <c r="AA31" s="190"/>
      <c r="AB31" s="190"/>
      <c r="AC31" s="190"/>
      <c r="AD31" s="190"/>
      <c r="AE31" s="190"/>
      <c r="AK31" s="189">
        <v>0</v>
      </c>
      <c r="AL31" s="190"/>
      <c r="AM31" s="190"/>
      <c r="AN31" s="190"/>
      <c r="AO31" s="190"/>
      <c r="AR31" s="29"/>
    </row>
    <row r="32" spans="2:71" s="2" customFormat="1" ht="14.45" hidden="1" customHeight="1" x14ac:dyDescent="0.2">
      <c r="B32" s="29"/>
      <c r="F32" s="22" t="s">
        <v>37</v>
      </c>
      <c r="L32" s="191">
        <v>0.12</v>
      </c>
      <c r="M32" s="190"/>
      <c r="N32" s="190"/>
      <c r="O32" s="190"/>
      <c r="P32" s="190"/>
      <c r="W32" s="189">
        <f>ROUND(BC94, 2)</f>
        <v>0</v>
      </c>
      <c r="X32" s="190"/>
      <c r="Y32" s="190"/>
      <c r="Z32" s="190"/>
      <c r="AA32" s="190"/>
      <c r="AB32" s="190"/>
      <c r="AC32" s="190"/>
      <c r="AD32" s="190"/>
      <c r="AE32" s="190"/>
      <c r="AK32" s="189">
        <v>0</v>
      </c>
      <c r="AL32" s="190"/>
      <c r="AM32" s="190"/>
      <c r="AN32" s="190"/>
      <c r="AO32" s="190"/>
      <c r="AR32" s="29"/>
    </row>
    <row r="33" spans="2:44" s="2" customFormat="1" ht="14.45" hidden="1" customHeight="1" x14ac:dyDescent="0.2">
      <c r="B33" s="29"/>
      <c r="F33" s="22" t="s">
        <v>38</v>
      </c>
      <c r="L33" s="191">
        <v>0</v>
      </c>
      <c r="M33" s="190"/>
      <c r="N33" s="190"/>
      <c r="O33" s="190"/>
      <c r="P33" s="190"/>
      <c r="W33" s="189">
        <f>ROUND(BD94, 2)</f>
        <v>0</v>
      </c>
      <c r="X33" s="190"/>
      <c r="Y33" s="190"/>
      <c r="Z33" s="190"/>
      <c r="AA33" s="190"/>
      <c r="AB33" s="190"/>
      <c r="AC33" s="190"/>
      <c r="AD33" s="190"/>
      <c r="AE33" s="190"/>
      <c r="AK33" s="189">
        <v>0</v>
      </c>
      <c r="AL33" s="190"/>
      <c r="AM33" s="190"/>
      <c r="AN33" s="190"/>
      <c r="AO33" s="190"/>
      <c r="AR33" s="29"/>
    </row>
    <row r="34" spans="2:44" s="1" customFormat="1" ht="6.95" customHeight="1" x14ac:dyDescent="0.2">
      <c r="B34" s="25"/>
      <c r="AR34" s="25"/>
    </row>
    <row r="35" spans="2:44" s="1" customFormat="1" ht="25.9" customHeight="1" x14ac:dyDescent="0.2">
      <c r="B35" s="25"/>
      <c r="C35" s="30"/>
      <c r="D35" s="31" t="s">
        <v>39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40</v>
      </c>
      <c r="U35" s="32"/>
      <c r="V35" s="32"/>
      <c r="W35" s="32"/>
      <c r="X35" s="209" t="s">
        <v>41</v>
      </c>
      <c r="Y35" s="210"/>
      <c r="Z35" s="210"/>
      <c r="AA35" s="210"/>
      <c r="AB35" s="210"/>
      <c r="AC35" s="32"/>
      <c r="AD35" s="32"/>
      <c r="AE35" s="32"/>
      <c r="AF35" s="32"/>
      <c r="AG35" s="32"/>
      <c r="AH35" s="32"/>
      <c r="AI35" s="32"/>
      <c r="AJ35" s="32"/>
      <c r="AK35" s="211">
        <f>+AN94</f>
        <v>0</v>
      </c>
      <c r="AL35" s="210"/>
      <c r="AM35" s="210"/>
      <c r="AN35" s="210"/>
      <c r="AO35" s="212"/>
      <c r="AP35" s="30"/>
      <c r="AQ35" s="30"/>
      <c r="AR35" s="25"/>
    </row>
    <row r="36" spans="2:44" s="1" customFormat="1" ht="6.95" customHeight="1" x14ac:dyDescent="0.2">
      <c r="B36" s="25"/>
      <c r="AR36" s="25"/>
    </row>
    <row r="37" spans="2:44" s="1" customFormat="1" ht="9.9499999999999993" customHeight="1" x14ac:dyDescent="0.2">
      <c r="B37" s="25"/>
      <c r="AR37" s="25"/>
    </row>
    <row r="38" spans="2:44" ht="9.9499999999999993" customHeight="1" x14ac:dyDescent="0.2">
      <c r="B38" s="16"/>
      <c r="AR38" s="16"/>
    </row>
    <row r="39" spans="2:44" ht="9.9499999999999993" customHeight="1" x14ac:dyDescent="0.2">
      <c r="B39" s="16"/>
      <c r="AR39" s="16"/>
    </row>
    <row r="40" spans="2:44" ht="0.75" customHeight="1" x14ac:dyDescent="0.2">
      <c r="B40" s="16"/>
      <c r="AR40" s="16"/>
    </row>
    <row r="41" spans="2:44" ht="9.75" hidden="1" customHeight="1" x14ac:dyDescent="0.2">
      <c r="B41" s="16"/>
      <c r="AR41" s="16"/>
    </row>
    <row r="42" spans="2:44" ht="9.75" hidden="1" customHeight="1" x14ac:dyDescent="0.2">
      <c r="B42" s="16"/>
      <c r="AR42" s="16"/>
    </row>
    <row r="43" spans="2:44" ht="9.75" hidden="1" customHeight="1" x14ac:dyDescent="0.2">
      <c r="B43" s="16"/>
      <c r="AR43" s="16"/>
    </row>
    <row r="44" spans="2:44" ht="9.75" hidden="1" customHeight="1" x14ac:dyDescent="0.2">
      <c r="B44" s="16"/>
      <c r="AR44" s="16"/>
    </row>
    <row r="45" spans="2:44" ht="9.75" hidden="1" customHeight="1" x14ac:dyDescent="0.2">
      <c r="B45" s="16"/>
      <c r="AR45" s="16"/>
    </row>
    <row r="46" spans="2:44" ht="9.75" hidden="1" customHeight="1" x14ac:dyDescent="0.2">
      <c r="B46" s="16"/>
      <c r="AR46" s="16"/>
    </row>
    <row r="47" spans="2:44" ht="9.9499999999999993" customHeight="1" x14ac:dyDescent="0.2">
      <c r="B47" s="16"/>
      <c r="AR47" s="16"/>
    </row>
    <row r="48" spans="2:44" ht="14.45" customHeight="1" x14ac:dyDescent="0.2">
      <c r="B48" s="16"/>
      <c r="AR48" s="16"/>
    </row>
    <row r="49" spans="2:44" s="1" customFormat="1" ht="14.45" customHeight="1" x14ac:dyDescent="0.2">
      <c r="B49" s="25"/>
      <c r="D49" s="34" t="s">
        <v>42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43</v>
      </c>
      <c r="AI49" s="35"/>
      <c r="AJ49" s="35"/>
      <c r="AK49" s="35"/>
      <c r="AL49" s="35"/>
      <c r="AM49" s="35"/>
      <c r="AN49" s="35"/>
      <c r="AO49" s="35"/>
      <c r="AR49" s="25"/>
    </row>
    <row r="50" spans="2:44" x14ac:dyDescent="0.2">
      <c r="B50" s="16"/>
      <c r="AR50" s="16"/>
    </row>
    <row r="51" spans="2:44" ht="9.9499999999999993" customHeight="1" x14ac:dyDescent="0.2">
      <c r="B51" s="16"/>
      <c r="AR51" s="16"/>
    </row>
    <row r="52" spans="2:44" ht="9.9499999999999993" customHeight="1" x14ac:dyDescent="0.2">
      <c r="B52" s="16"/>
      <c r="AR52" s="16"/>
    </row>
    <row r="53" spans="2:44" ht="9.9499999999999993" customHeight="1" x14ac:dyDescent="0.2">
      <c r="B53" s="16"/>
      <c r="AR53" s="16"/>
    </row>
    <row r="54" spans="2:44" ht="6" customHeight="1" x14ac:dyDescent="0.2">
      <c r="B54" s="16"/>
      <c r="AR54" s="16"/>
    </row>
    <row r="55" spans="2:44" ht="9.75" hidden="1" customHeight="1" x14ac:dyDescent="0.2">
      <c r="B55" s="16"/>
      <c r="AR55" s="16"/>
    </row>
    <row r="56" spans="2:44" ht="9.75" hidden="1" customHeight="1" x14ac:dyDescent="0.2">
      <c r="B56" s="16"/>
      <c r="AR56" s="16"/>
    </row>
    <row r="57" spans="2:44" ht="9.75" hidden="1" customHeight="1" x14ac:dyDescent="0.2">
      <c r="B57" s="16"/>
      <c r="AR57" s="16"/>
    </row>
    <row r="58" spans="2:44" ht="9.9499999999999993" customHeight="1" x14ac:dyDescent="0.2">
      <c r="B58" s="16"/>
      <c r="AR58" s="16"/>
    </row>
    <row r="59" spans="2:44" ht="9.9499999999999993" customHeight="1" x14ac:dyDescent="0.2">
      <c r="B59" s="16"/>
      <c r="AR59" s="16"/>
    </row>
    <row r="60" spans="2:44" s="1" customFormat="1" ht="12.75" x14ac:dyDescent="0.2">
      <c r="B60" s="25"/>
      <c r="D60" s="36" t="s">
        <v>44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45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44</v>
      </c>
      <c r="AI60" s="27"/>
      <c r="AJ60" s="27"/>
      <c r="AK60" s="27"/>
      <c r="AL60" s="27"/>
      <c r="AM60" s="36" t="s">
        <v>45</v>
      </c>
      <c r="AN60" s="27"/>
      <c r="AO60" s="27"/>
      <c r="AR60" s="25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2.75" x14ac:dyDescent="0.2">
      <c r="B64" s="25"/>
      <c r="D64" s="34" t="s">
        <v>46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47</v>
      </c>
      <c r="AI64" s="35"/>
      <c r="AJ64" s="35"/>
      <c r="AK64" s="35"/>
      <c r="AL64" s="35"/>
      <c r="AM64" s="35"/>
      <c r="AN64" s="35"/>
      <c r="AO64" s="35"/>
      <c r="AR64" s="25"/>
    </row>
    <row r="65" spans="2:44" x14ac:dyDescent="0.2">
      <c r="B65" s="16"/>
      <c r="AR65" s="16"/>
    </row>
    <row r="66" spans="2:44" x14ac:dyDescent="0.2">
      <c r="B66" s="16"/>
      <c r="AR66" s="16"/>
    </row>
    <row r="67" spans="2:44" ht="3.75" customHeight="1" x14ac:dyDescent="0.2">
      <c r="B67" s="16"/>
      <c r="AR67" s="16"/>
    </row>
    <row r="68" spans="2:44" hidden="1" x14ac:dyDescent="0.2">
      <c r="B68" s="16"/>
      <c r="AR68" s="16"/>
    </row>
    <row r="69" spans="2:44" hidden="1" x14ac:dyDescent="0.2">
      <c r="B69" s="16"/>
      <c r="AR69" s="16"/>
    </row>
    <row r="70" spans="2:44" hidden="1" x14ac:dyDescent="0.2">
      <c r="B70" s="16"/>
      <c r="AR70" s="16"/>
    </row>
    <row r="71" spans="2:44" hidden="1" x14ac:dyDescent="0.2">
      <c r="B71" s="16"/>
      <c r="AR71" s="16"/>
    </row>
    <row r="72" spans="2:44" ht="10.5" hidden="1" customHeight="1" x14ac:dyDescent="0.2">
      <c r="B72" s="16"/>
      <c r="AR72" s="16"/>
    </row>
    <row r="73" spans="2:44" ht="9.75" customHeight="1" x14ac:dyDescent="0.2">
      <c r="B73" s="16"/>
      <c r="AR73" s="16"/>
    </row>
    <row r="74" spans="2:44" x14ac:dyDescent="0.2">
      <c r="B74" s="16"/>
      <c r="AR74" s="16"/>
    </row>
    <row r="75" spans="2:44" s="1" customFormat="1" ht="12.75" x14ac:dyDescent="0.2">
      <c r="B75" s="25"/>
      <c r="D75" s="36" t="s">
        <v>44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45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44</v>
      </c>
      <c r="AI75" s="27"/>
      <c r="AJ75" s="27"/>
      <c r="AK75" s="27"/>
      <c r="AL75" s="27"/>
      <c r="AM75" s="36" t="s">
        <v>45</v>
      </c>
      <c r="AN75" s="27"/>
      <c r="AO75" s="27"/>
      <c r="AR75" s="25"/>
    </row>
    <row r="76" spans="2:44" s="1" customFormat="1" x14ac:dyDescent="0.2">
      <c r="B76" s="179"/>
      <c r="AR76" s="25"/>
    </row>
    <row r="77" spans="2:44" s="1" customFormat="1" ht="6.95" customHeight="1" x14ac:dyDescent="0.2">
      <c r="B77" s="179"/>
      <c r="AP77" s="177"/>
      <c r="AQ77" s="38"/>
      <c r="AR77" s="25"/>
    </row>
    <row r="78" spans="2:44" x14ac:dyDescent="0.2">
      <c r="B78" s="180"/>
      <c r="AP78" s="178"/>
    </row>
    <row r="79" spans="2:44" x14ac:dyDescent="0.2">
      <c r="B79" s="180"/>
      <c r="AP79" s="178"/>
    </row>
    <row r="80" spans="2:44" x14ac:dyDescent="0.2">
      <c r="B80" s="180"/>
      <c r="AP80" s="178"/>
    </row>
    <row r="81" spans="1:90" s="1" customFormat="1" ht="6.95" customHeight="1" x14ac:dyDescent="0.2">
      <c r="B81" s="25"/>
      <c r="AP81" s="177"/>
      <c r="AQ81" s="40"/>
      <c r="AR81" s="25"/>
    </row>
    <row r="82" spans="1:90" s="1" customFormat="1" ht="24.95" customHeight="1" x14ac:dyDescent="0.2">
      <c r="B82" s="25"/>
      <c r="C82" s="17" t="s">
        <v>48</v>
      </c>
      <c r="AR82" s="25"/>
    </row>
    <row r="83" spans="1:90" s="1" customFormat="1" ht="6.95" customHeight="1" x14ac:dyDescent="0.2">
      <c r="B83" s="25"/>
      <c r="AR83" s="25"/>
    </row>
    <row r="84" spans="1:90" s="3" customFormat="1" ht="12" customHeight="1" x14ac:dyDescent="0.2">
      <c r="B84" s="41"/>
      <c r="C84" s="22" t="s">
        <v>12</v>
      </c>
      <c r="L84" s="3" t="str">
        <f>K5</f>
        <v>HRADIŠTE</v>
      </c>
      <c r="AR84" s="41"/>
    </row>
    <row r="85" spans="1:90" s="4" customFormat="1" ht="36.950000000000003" customHeight="1" x14ac:dyDescent="0.2">
      <c r="B85" s="42"/>
      <c r="C85" s="43" t="s">
        <v>13</v>
      </c>
      <c r="L85" s="200" t="str">
        <f>K6</f>
        <v>Sanace vodojemu</v>
      </c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201"/>
      <c r="AR85" s="42"/>
    </row>
    <row r="86" spans="1:90" s="1" customFormat="1" ht="6.95" customHeight="1" x14ac:dyDescent="0.2">
      <c r="B86" s="25"/>
      <c r="AR86" s="25"/>
    </row>
    <row r="87" spans="1:90" s="1" customFormat="1" ht="12" customHeight="1" x14ac:dyDescent="0.2">
      <c r="B87" s="25"/>
      <c r="C87" s="22" t="s">
        <v>17</v>
      </c>
      <c r="L87" s="44" t="str">
        <f>IF(K8="","",K8)</f>
        <v>Hradiště u Kaplice</v>
      </c>
      <c r="AI87" s="22" t="s">
        <v>19</v>
      </c>
      <c r="AM87" s="202">
        <f>IF(AN8= "","",AN8)</f>
        <v>45922</v>
      </c>
      <c r="AN87" s="202"/>
      <c r="AR87" s="25"/>
    </row>
    <row r="88" spans="1:90" s="1" customFormat="1" ht="6.95" customHeight="1" x14ac:dyDescent="0.2">
      <c r="B88" s="25"/>
      <c r="AR88" s="25"/>
    </row>
    <row r="89" spans="1:90" s="1" customFormat="1" ht="15.2" customHeight="1" x14ac:dyDescent="0.2">
      <c r="B89" s="25"/>
      <c r="C89" s="22" t="s">
        <v>20</v>
      </c>
      <c r="L89" s="3" t="str">
        <f>IF(E11= "","",E11)</f>
        <v xml:space="preserve"> </v>
      </c>
      <c r="AI89" s="22" t="s">
        <v>25</v>
      </c>
      <c r="AM89" s="203" t="str">
        <f>IF(E17="","",E17)</f>
        <v xml:space="preserve"> </v>
      </c>
      <c r="AN89" s="204"/>
      <c r="AO89" s="204"/>
      <c r="AP89" s="204"/>
      <c r="AR89" s="25"/>
      <c r="AS89" s="205" t="s">
        <v>49</v>
      </c>
      <c r="AT89" s="206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0" s="1" customFormat="1" ht="15.2" customHeight="1" x14ac:dyDescent="0.2">
      <c r="B90" s="25"/>
      <c r="C90" s="22" t="s">
        <v>24</v>
      </c>
      <c r="L90" s="3" t="str">
        <f>IF(E14="","",E14)</f>
        <v xml:space="preserve"> </v>
      </c>
      <c r="AI90" s="22" t="s">
        <v>27</v>
      </c>
      <c r="AM90" s="203" t="str">
        <f>IF(E20="","",E20)</f>
        <v xml:space="preserve"> </v>
      </c>
      <c r="AN90" s="204"/>
      <c r="AO90" s="204"/>
      <c r="AP90" s="204"/>
      <c r="AR90" s="25"/>
      <c r="AS90" s="207"/>
      <c r="AT90" s="208"/>
      <c r="BD90" s="49"/>
    </row>
    <row r="91" spans="1:90" s="1" customFormat="1" ht="10.9" customHeight="1" x14ac:dyDescent="0.2">
      <c r="B91" s="25"/>
      <c r="AR91" s="25"/>
      <c r="AS91" s="207"/>
      <c r="AT91" s="208"/>
      <c r="BD91" s="49"/>
    </row>
    <row r="92" spans="1:90" s="1" customFormat="1" ht="29.25" customHeight="1" x14ac:dyDescent="0.2">
      <c r="B92" s="25"/>
      <c r="C92" s="195" t="s">
        <v>50</v>
      </c>
      <c r="D92" s="196"/>
      <c r="E92" s="196"/>
      <c r="F92" s="196"/>
      <c r="G92" s="196"/>
      <c r="H92" s="50"/>
      <c r="I92" s="197" t="s">
        <v>51</v>
      </c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8" t="s">
        <v>52</v>
      </c>
      <c r="AH92" s="196"/>
      <c r="AI92" s="196"/>
      <c r="AJ92" s="196"/>
      <c r="AK92" s="196"/>
      <c r="AL92" s="196"/>
      <c r="AM92" s="196"/>
      <c r="AN92" s="197" t="s">
        <v>53</v>
      </c>
      <c r="AO92" s="196"/>
      <c r="AP92" s="199"/>
      <c r="AQ92" s="51" t="s">
        <v>54</v>
      </c>
      <c r="AR92" s="25"/>
      <c r="AS92" s="52" t="s">
        <v>55</v>
      </c>
      <c r="AT92" s="53" t="s">
        <v>56</v>
      </c>
      <c r="AU92" s="53" t="s">
        <v>57</v>
      </c>
      <c r="AV92" s="53" t="s">
        <v>58</v>
      </c>
      <c r="AW92" s="53" t="s">
        <v>59</v>
      </c>
      <c r="AX92" s="53" t="s">
        <v>60</v>
      </c>
      <c r="AY92" s="53" t="s">
        <v>61</v>
      </c>
      <c r="AZ92" s="53" t="s">
        <v>62</v>
      </c>
      <c r="BA92" s="53" t="s">
        <v>63</v>
      </c>
      <c r="BB92" s="53" t="s">
        <v>64</v>
      </c>
      <c r="BC92" s="53" t="s">
        <v>65</v>
      </c>
      <c r="BD92" s="54" t="s">
        <v>66</v>
      </c>
    </row>
    <row r="93" spans="1:90" s="1" customFormat="1" ht="10.9" customHeight="1" x14ac:dyDescent="0.2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0" s="5" customFormat="1" ht="32.450000000000003" customHeight="1" x14ac:dyDescent="0.2">
      <c r="B94" s="56"/>
      <c r="C94" s="57" t="s">
        <v>67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92">
        <f>ROUND(AG95,2)+AI96</f>
        <v>0</v>
      </c>
      <c r="AH94" s="192"/>
      <c r="AI94" s="192"/>
      <c r="AJ94" s="192"/>
      <c r="AK94" s="192"/>
      <c r="AL94" s="192"/>
      <c r="AM94" s="192"/>
      <c r="AN94" s="193">
        <f>+AN95+AN96</f>
        <v>0</v>
      </c>
      <c r="AO94" s="193"/>
      <c r="AP94" s="193"/>
      <c r="AQ94" s="60" t="s">
        <v>1</v>
      </c>
      <c r="AR94" s="56"/>
      <c r="AS94" s="61">
        <f>ROUND(AS95,2)</f>
        <v>0</v>
      </c>
      <c r="AT94" s="62">
        <f>ROUND(SUM(AV94:AW94),2)</f>
        <v>0</v>
      </c>
      <c r="AU94" s="63">
        <f>ROUND(AU95,5)</f>
        <v>260.26195000000001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ROUND(AZ95,2)</f>
        <v>0</v>
      </c>
      <c r="BA94" s="62">
        <f>ROUND(BA95,2)</f>
        <v>0</v>
      </c>
      <c r="BB94" s="62">
        <f>ROUND(BB95,2)</f>
        <v>0</v>
      </c>
      <c r="BC94" s="62">
        <f>ROUND(BC95,2)</f>
        <v>0</v>
      </c>
      <c r="BD94" s="64">
        <f>ROUND(BD95,2)</f>
        <v>0</v>
      </c>
      <c r="BS94" s="65" t="s">
        <v>68</v>
      </c>
      <c r="BT94" s="65" t="s">
        <v>69</v>
      </c>
      <c r="BV94" s="65" t="s">
        <v>70</v>
      </c>
      <c r="BW94" s="65" t="s">
        <v>4</v>
      </c>
      <c r="BX94" s="65" t="s">
        <v>71</v>
      </c>
      <c r="CL94" s="65" t="s">
        <v>1</v>
      </c>
    </row>
    <row r="95" spans="1:90" s="6" customFormat="1" ht="24.75" customHeight="1" x14ac:dyDescent="0.2">
      <c r="A95" t="s">
        <v>72</v>
      </c>
      <c r="B95" s="66"/>
      <c r="C95" s="67"/>
      <c r="D95" s="218" t="s">
        <v>225</v>
      </c>
      <c r="E95" s="218"/>
      <c r="F95" s="218"/>
      <c r="G95" s="218"/>
      <c r="H95" s="218"/>
      <c r="I95" s="68"/>
      <c r="J95" s="217" t="s">
        <v>14</v>
      </c>
      <c r="K95" s="217"/>
      <c r="L95" s="217"/>
      <c r="M95" s="217"/>
      <c r="N95" s="217"/>
      <c r="O95" s="217"/>
      <c r="P95" s="217"/>
      <c r="Q95" s="217"/>
      <c r="R95" s="217"/>
      <c r="S95" s="217"/>
      <c r="T95" s="217"/>
      <c r="U95" s="217"/>
      <c r="V95" s="217"/>
      <c r="W95" s="217"/>
      <c r="X95" s="217"/>
      <c r="Y95" s="217"/>
      <c r="Z95" s="217"/>
      <c r="AA95" s="217"/>
      <c r="AB95" s="217"/>
      <c r="AC95" s="217"/>
      <c r="AD95" s="217"/>
      <c r="AE95" s="217"/>
      <c r="AF95" s="217"/>
      <c r="AG95" s="214">
        <f>'Sanace vodojemu'!J28</f>
        <v>0</v>
      </c>
      <c r="AH95" s="215"/>
      <c r="AI95" s="215"/>
      <c r="AJ95" s="215"/>
      <c r="AK95" s="215"/>
      <c r="AL95" s="215"/>
      <c r="AM95" s="215"/>
      <c r="AN95" s="214">
        <f>SUM(AG95,AT95)</f>
        <v>0</v>
      </c>
      <c r="AO95" s="215"/>
      <c r="AP95" s="216"/>
      <c r="AQ95" s="214"/>
      <c r="AR95" s="215"/>
      <c r="AS95" s="215"/>
      <c r="AT95" s="69">
        <f>ROUND(SUM(AV95:AW95),2)</f>
        <v>0</v>
      </c>
      <c r="AU95" s="70">
        <f>'Sanace vodojemu'!P118</f>
        <v>260.26195000000001</v>
      </c>
      <c r="AV95" s="69">
        <f>'Sanace vodojemu'!J31</f>
        <v>0</v>
      </c>
      <c r="AW95" s="69">
        <f>'Sanace vodojemu'!J32</f>
        <v>0</v>
      </c>
      <c r="AX95" s="69">
        <f>'Sanace vodojemu'!J33</f>
        <v>0</v>
      </c>
      <c r="AY95" s="69">
        <f>'Sanace vodojemu'!J34</f>
        <v>0</v>
      </c>
      <c r="AZ95" s="69">
        <f>'Sanace vodojemu'!F31</f>
        <v>0</v>
      </c>
      <c r="BA95" s="69">
        <f>'Sanace vodojemu'!F32</f>
        <v>0</v>
      </c>
      <c r="BB95" s="69">
        <f>'Sanace vodojemu'!F33</f>
        <v>0</v>
      </c>
      <c r="BC95" s="69">
        <f>'Sanace vodojemu'!F34</f>
        <v>0</v>
      </c>
      <c r="BD95" s="71">
        <f>'Sanace vodojemu'!F35</f>
        <v>0</v>
      </c>
      <c r="BT95" s="72" t="s">
        <v>73</v>
      </c>
      <c r="BU95" s="72" t="s">
        <v>74</v>
      </c>
      <c r="BV95" s="72" t="s">
        <v>70</v>
      </c>
      <c r="BW95" s="72" t="s">
        <v>4</v>
      </c>
      <c r="BX95" s="72" t="s">
        <v>71</v>
      </c>
      <c r="CL95" s="72" t="s">
        <v>1</v>
      </c>
    </row>
    <row r="96" spans="1:90" s="1" customFormat="1" ht="30" customHeight="1" x14ac:dyDescent="0.2">
      <c r="B96" s="25"/>
      <c r="D96" s="213"/>
      <c r="E96" s="213"/>
      <c r="F96" s="213"/>
      <c r="G96" s="213"/>
      <c r="H96" s="213"/>
      <c r="J96" s="217" t="s">
        <v>230</v>
      </c>
      <c r="K96" s="217"/>
      <c r="L96" s="217"/>
      <c r="M96" s="217"/>
      <c r="N96" s="217"/>
      <c r="O96" s="217"/>
      <c r="P96" s="217"/>
      <c r="Q96" s="217"/>
      <c r="R96" s="217"/>
      <c r="S96" s="217"/>
      <c r="T96" s="217"/>
      <c r="U96" s="217"/>
      <c r="V96" s="217"/>
      <c r="W96" s="217"/>
      <c r="X96" s="217"/>
      <c r="Y96" s="217"/>
      <c r="Z96" s="217"/>
      <c r="AA96" s="217"/>
      <c r="AB96" s="217"/>
      <c r="AC96" s="217"/>
      <c r="AD96" s="217"/>
      <c r="AE96" s="217"/>
      <c r="AF96" s="217"/>
      <c r="AG96" s="135"/>
      <c r="AI96" s="214">
        <f>+'Stavební práce'!J31</f>
        <v>0</v>
      </c>
      <c r="AJ96" s="215"/>
      <c r="AK96" s="215"/>
      <c r="AL96" s="215"/>
      <c r="AM96" s="215"/>
      <c r="AN96" s="214">
        <f>+AI96*1.21</f>
        <v>0</v>
      </c>
      <c r="AO96" s="215"/>
      <c r="AP96" s="216"/>
      <c r="AW96" s="25"/>
    </row>
    <row r="97" spans="2:44" s="1" customFormat="1" ht="6.95" customHeight="1" x14ac:dyDescent="0.2">
      <c r="B97" s="37"/>
      <c r="C97" s="38"/>
      <c r="D97" s="38"/>
      <c r="E97" s="38"/>
      <c r="F97" s="38"/>
      <c r="G97" s="38"/>
      <c r="H97" s="38"/>
      <c r="I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  <row r="98" spans="2:44" x14ac:dyDescent="0.2">
      <c r="J98" s="145"/>
    </row>
  </sheetData>
  <mergeCells count="46">
    <mergeCell ref="D96:H96"/>
    <mergeCell ref="AN96:AP96"/>
    <mergeCell ref="AI96:AM96"/>
    <mergeCell ref="AQ95:AS95"/>
    <mergeCell ref="J96:AF96"/>
    <mergeCell ref="AN95:AP95"/>
    <mergeCell ref="AG95:AM95"/>
    <mergeCell ref="D95:H95"/>
    <mergeCell ref="J95:AF95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J5"/>
    <mergeCell ref="K6:AJ6"/>
    <mergeCell ref="E23:AN23"/>
    <mergeCell ref="AK26:AO26"/>
    <mergeCell ref="L28:P28"/>
    <mergeCell ref="W28:AE28"/>
    <mergeCell ref="AK28:AO28"/>
    <mergeCell ref="AN8:AO8"/>
  </mergeCells>
  <pageMargins left="0.39370078740157483" right="0.39370078740157483" top="0.39370078740157483" bottom="0.39370078740157483" header="0" footer="0"/>
  <pageSetup paperSize="9" fitToWidth="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0"/>
  <sheetViews>
    <sheetView showGridLines="0" topLeftCell="A125" workbookViewId="0">
      <selection activeCell="Z138" sqref="Z138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4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4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4.95" customHeight="1" x14ac:dyDescent="0.2">
      <c r="B4" s="16"/>
      <c r="D4" s="17" t="s">
        <v>76</v>
      </c>
      <c r="L4" s="16"/>
      <c r="M4" s="73" t="s">
        <v>10</v>
      </c>
      <c r="AT4" s="13" t="s">
        <v>3</v>
      </c>
    </row>
    <row r="5" spans="2:46" ht="6.95" customHeight="1" x14ac:dyDescent="0.2">
      <c r="B5" s="16"/>
      <c r="L5" s="16"/>
    </row>
    <row r="6" spans="2:46" s="1" customFormat="1" ht="12" customHeight="1" x14ac:dyDescent="0.2">
      <c r="B6" s="25"/>
      <c r="D6" s="22" t="s">
        <v>13</v>
      </c>
      <c r="L6" s="25"/>
    </row>
    <row r="7" spans="2:46" s="1" customFormat="1" ht="16.5" customHeight="1" x14ac:dyDescent="0.2">
      <c r="B7" s="25"/>
      <c r="E7" s="200" t="s">
        <v>14</v>
      </c>
      <c r="F7" s="219"/>
      <c r="G7" s="219"/>
      <c r="H7" s="219"/>
      <c r="L7" s="25"/>
    </row>
    <row r="8" spans="2:46" s="1" customFormat="1" x14ac:dyDescent="0.2">
      <c r="B8" s="25"/>
      <c r="L8" s="25"/>
    </row>
    <row r="9" spans="2:46" s="1" customFormat="1" ht="12" customHeight="1" x14ac:dyDescent="0.2">
      <c r="B9" s="25"/>
      <c r="D9" s="22" t="s">
        <v>15</v>
      </c>
      <c r="F9" s="20" t="s">
        <v>1</v>
      </c>
      <c r="I9" s="22" t="s">
        <v>16</v>
      </c>
      <c r="J9" s="20" t="s">
        <v>1</v>
      </c>
      <c r="L9" s="25"/>
    </row>
    <row r="10" spans="2:46" s="1" customFormat="1" ht="12" customHeight="1" x14ac:dyDescent="0.2">
      <c r="B10" s="25"/>
      <c r="D10" s="22" t="s">
        <v>17</v>
      </c>
      <c r="F10" s="20" t="s">
        <v>18</v>
      </c>
      <c r="I10" s="22" t="s">
        <v>19</v>
      </c>
      <c r="J10" s="45">
        <v>45922</v>
      </c>
      <c r="L10" s="25"/>
    </row>
    <row r="11" spans="2:46" s="1" customFormat="1" ht="10.9" customHeight="1" x14ac:dyDescent="0.2">
      <c r="B11" s="25"/>
      <c r="L11" s="25"/>
    </row>
    <row r="12" spans="2:46" s="1" customFormat="1" ht="12" customHeight="1" x14ac:dyDescent="0.2">
      <c r="B12" s="25"/>
      <c r="D12" s="22" t="s">
        <v>20</v>
      </c>
      <c r="I12" s="22" t="s">
        <v>21</v>
      </c>
      <c r="J12" s="20" t="str">
        <f>IF('Rekapitulace stavby'!AN10="","",'Rekapitulace stavby'!AN10)</f>
        <v/>
      </c>
      <c r="L12" s="25"/>
    </row>
    <row r="13" spans="2:46" s="1" customFormat="1" ht="18" customHeight="1" x14ac:dyDescent="0.2">
      <c r="B13" s="25"/>
      <c r="E13" s="20" t="str">
        <f>IF('Rekapitulace stavby'!E11="","",'Rekapitulace stavby'!E11)</f>
        <v xml:space="preserve"> </v>
      </c>
      <c r="I13" s="22" t="s">
        <v>23</v>
      </c>
      <c r="J13" s="20" t="str">
        <f>IF('Rekapitulace stavby'!AN11="","",'Rekapitulace stavby'!AN11)</f>
        <v/>
      </c>
      <c r="L13" s="25"/>
    </row>
    <row r="14" spans="2:46" s="1" customFormat="1" ht="6.95" customHeight="1" x14ac:dyDescent="0.2">
      <c r="B14" s="25"/>
      <c r="L14" s="25"/>
    </row>
    <row r="15" spans="2:46" s="1" customFormat="1" ht="12" customHeight="1" x14ac:dyDescent="0.2">
      <c r="B15" s="25"/>
      <c r="D15" s="22" t="s">
        <v>24</v>
      </c>
      <c r="I15" s="22" t="s">
        <v>21</v>
      </c>
      <c r="J15" s="20" t="str">
        <f>'Rekapitulace stavby'!AN13</f>
        <v/>
      </c>
      <c r="L15" s="25"/>
    </row>
    <row r="16" spans="2:46" s="1" customFormat="1" ht="18" customHeight="1" x14ac:dyDescent="0.2">
      <c r="B16" s="25"/>
      <c r="E16" s="181" t="str">
        <f>'Rekapitulace stavby'!E14</f>
        <v xml:space="preserve"> </v>
      </c>
      <c r="F16" s="181"/>
      <c r="G16" s="181"/>
      <c r="H16" s="181"/>
      <c r="I16" s="22" t="s">
        <v>23</v>
      </c>
      <c r="J16" s="20" t="str">
        <f>'Rekapitulace stavby'!AN14</f>
        <v/>
      </c>
      <c r="L16" s="25"/>
    </row>
    <row r="17" spans="2:12" s="1" customFormat="1" ht="6.95" customHeight="1" x14ac:dyDescent="0.2">
      <c r="B17" s="25"/>
      <c r="L17" s="25"/>
    </row>
    <row r="18" spans="2:12" s="1" customFormat="1" ht="12" customHeight="1" x14ac:dyDescent="0.2">
      <c r="B18" s="25"/>
      <c r="D18" s="22" t="s">
        <v>25</v>
      </c>
      <c r="I18" s="22" t="s">
        <v>21</v>
      </c>
      <c r="J18" s="20">
        <f>IF('Rekapitulace stavby'!AN16="","",'Rekapitulace stavby'!AN16)</f>
        <v>63280264</v>
      </c>
      <c r="L18" s="25"/>
    </row>
    <row r="19" spans="2:12" s="1" customFormat="1" ht="18" customHeight="1" x14ac:dyDescent="0.2">
      <c r="B19" s="25"/>
      <c r="E19" s="20" t="str">
        <f>IF('Rekapitulace stavby'!E17="","",'Rekapitulace stavby'!E17)</f>
        <v xml:space="preserve"> </v>
      </c>
      <c r="I19" s="22" t="s">
        <v>23</v>
      </c>
      <c r="J19" s="20" t="str">
        <f>IF('Rekapitulace stavby'!AN17="","",'Rekapitulace stavby'!AN17)</f>
        <v>CZ5706260978</v>
      </c>
      <c r="L19" s="25"/>
    </row>
    <row r="20" spans="2:12" s="1" customFormat="1" ht="6.95" customHeight="1" x14ac:dyDescent="0.2">
      <c r="B20" s="25"/>
      <c r="L20" s="25"/>
    </row>
    <row r="21" spans="2:12" s="1" customFormat="1" ht="12" customHeight="1" x14ac:dyDescent="0.2">
      <c r="B21" s="25"/>
      <c r="D21" s="22" t="s">
        <v>27</v>
      </c>
      <c r="I21" s="22" t="s">
        <v>21</v>
      </c>
      <c r="J21" s="20" t="str">
        <f>IF('Rekapitulace stavby'!AN19="","",'Rekapitulace stavby'!AN19)</f>
        <v/>
      </c>
      <c r="L21" s="25"/>
    </row>
    <row r="22" spans="2:12" s="1" customFormat="1" ht="18" customHeight="1" x14ac:dyDescent="0.2">
      <c r="B22" s="25"/>
      <c r="E22" s="20" t="str">
        <f>IF('Rekapitulace stavby'!E20="","",'Rekapitulace stavby'!E20)</f>
        <v xml:space="preserve"> </v>
      </c>
      <c r="I22" s="22" t="s">
        <v>23</v>
      </c>
      <c r="J22" s="20" t="str">
        <f>IF('Rekapitulace stavby'!AN20="","",'Rekapitulace stavby'!AN20)</f>
        <v/>
      </c>
      <c r="L22" s="25"/>
    </row>
    <row r="23" spans="2:12" s="1" customFormat="1" ht="6.95" customHeight="1" x14ac:dyDescent="0.2">
      <c r="B23" s="25"/>
      <c r="L23" s="25"/>
    </row>
    <row r="24" spans="2:12" s="1" customFormat="1" ht="12" customHeight="1" x14ac:dyDescent="0.2">
      <c r="B24" s="25"/>
      <c r="D24" s="22" t="s">
        <v>28</v>
      </c>
      <c r="L24" s="25"/>
    </row>
    <row r="25" spans="2:12" s="7" customFormat="1" ht="16.5" customHeight="1" x14ac:dyDescent="0.2">
      <c r="B25" s="74"/>
      <c r="E25" s="184" t="s">
        <v>1</v>
      </c>
      <c r="F25" s="184"/>
      <c r="G25" s="184"/>
      <c r="H25" s="184"/>
      <c r="L25" s="74"/>
    </row>
    <row r="26" spans="2:12" s="1" customFormat="1" ht="6.95" customHeight="1" x14ac:dyDescent="0.2">
      <c r="B26" s="25"/>
      <c r="L26" s="25"/>
    </row>
    <row r="27" spans="2:12" s="1" customFormat="1" ht="6.95" customHeight="1" x14ac:dyDescent="0.2">
      <c r="B27" s="25"/>
      <c r="D27" s="46"/>
      <c r="E27" s="46"/>
      <c r="F27" s="46"/>
      <c r="G27" s="46"/>
      <c r="H27" s="46"/>
      <c r="I27" s="46"/>
      <c r="J27" s="46"/>
      <c r="K27" s="46"/>
      <c r="L27" s="25"/>
    </row>
    <row r="28" spans="2:12" s="1" customFormat="1" ht="25.35" customHeight="1" x14ac:dyDescent="0.2">
      <c r="B28" s="25"/>
      <c r="D28" s="75" t="s">
        <v>29</v>
      </c>
      <c r="J28" s="59">
        <f>ROUND(J118, 2)</f>
        <v>0</v>
      </c>
      <c r="L28" s="25"/>
    </row>
    <row r="29" spans="2:12" s="1" customFormat="1" ht="6.95" customHeight="1" x14ac:dyDescent="0.2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14.45" customHeight="1" x14ac:dyDescent="0.2">
      <c r="B30" s="25"/>
      <c r="F30" s="28" t="s">
        <v>31</v>
      </c>
      <c r="I30" s="28" t="s">
        <v>30</v>
      </c>
      <c r="J30" s="28" t="s">
        <v>32</v>
      </c>
      <c r="L30" s="25"/>
    </row>
    <row r="31" spans="2:12" s="1" customFormat="1" ht="14.45" customHeight="1" x14ac:dyDescent="0.2">
      <c r="B31" s="25"/>
      <c r="D31" s="48" t="s">
        <v>33</v>
      </c>
      <c r="E31" s="22" t="s">
        <v>34</v>
      </c>
      <c r="F31" s="76">
        <f>ROUND((SUM(BE118:BE139)),  2)</f>
        <v>0</v>
      </c>
      <c r="I31" s="77">
        <v>0.21</v>
      </c>
      <c r="J31" s="76">
        <f>ROUND(((SUM(BE118:BE139))*I31),  2)</f>
        <v>0</v>
      </c>
      <c r="L31" s="25"/>
    </row>
    <row r="32" spans="2:12" s="1" customFormat="1" ht="14.45" customHeight="1" x14ac:dyDescent="0.2">
      <c r="B32" s="25"/>
      <c r="E32" s="22" t="s">
        <v>35</v>
      </c>
      <c r="F32" s="76">
        <f>ROUND((SUM(BF118:BF139)),  2)</f>
        <v>0</v>
      </c>
      <c r="I32" s="77">
        <v>0.12</v>
      </c>
      <c r="J32" s="76">
        <f>ROUND(((SUM(BF118:BF139))*I32),  2)</f>
        <v>0</v>
      </c>
      <c r="L32" s="25"/>
    </row>
    <row r="33" spans="2:12" s="1" customFormat="1" ht="14.45" hidden="1" customHeight="1" x14ac:dyDescent="0.2">
      <c r="B33" s="25"/>
      <c r="E33" s="22" t="s">
        <v>36</v>
      </c>
      <c r="F33" s="76">
        <f>ROUND((SUM(BG118:BG139)),  2)</f>
        <v>0</v>
      </c>
      <c r="I33" s="77">
        <v>0.21</v>
      </c>
      <c r="J33" s="76">
        <f>0</f>
        <v>0</v>
      </c>
      <c r="L33" s="25"/>
    </row>
    <row r="34" spans="2:12" s="1" customFormat="1" ht="14.45" hidden="1" customHeight="1" x14ac:dyDescent="0.2">
      <c r="B34" s="25"/>
      <c r="E34" s="22" t="s">
        <v>37</v>
      </c>
      <c r="F34" s="76">
        <f>ROUND((SUM(BH118:BH139)),  2)</f>
        <v>0</v>
      </c>
      <c r="I34" s="77">
        <v>0.12</v>
      </c>
      <c r="J34" s="76">
        <f>0</f>
        <v>0</v>
      </c>
      <c r="L34" s="25"/>
    </row>
    <row r="35" spans="2:12" s="1" customFormat="1" ht="14.45" hidden="1" customHeight="1" x14ac:dyDescent="0.2">
      <c r="B35" s="25"/>
      <c r="E35" s="22" t="s">
        <v>38</v>
      </c>
      <c r="F35" s="76">
        <f>ROUND((SUM(BI118:BI139)),  2)</f>
        <v>0</v>
      </c>
      <c r="I35" s="77">
        <v>0</v>
      </c>
      <c r="J35" s="76">
        <f>0</f>
        <v>0</v>
      </c>
      <c r="L35" s="25"/>
    </row>
    <row r="36" spans="2:12" s="1" customFormat="1" ht="6.95" customHeight="1" x14ac:dyDescent="0.2">
      <c r="B36" s="25"/>
      <c r="L36" s="25"/>
    </row>
    <row r="37" spans="2:12" s="1" customFormat="1" ht="25.35" customHeight="1" x14ac:dyDescent="0.2">
      <c r="B37" s="25"/>
      <c r="C37" s="78"/>
      <c r="D37" s="79" t="s">
        <v>39</v>
      </c>
      <c r="E37" s="50"/>
      <c r="F37" s="50"/>
      <c r="G37" s="80" t="s">
        <v>40</v>
      </c>
      <c r="H37" s="81" t="s">
        <v>41</v>
      </c>
      <c r="I37" s="50"/>
      <c r="J37" s="82">
        <f>SUM(J28:J35)</f>
        <v>0</v>
      </c>
      <c r="K37" s="83"/>
      <c r="L37" s="25"/>
    </row>
    <row r="38" spans="2:12" s="1" customFormat="1" ht="14.45" customHeight="1" x14ac:dyDescent="0.2">
      <c r="B38" s="25"/>
      <c r="L38" s="25"/>
    </row>
    <row r="39" spans="2:12" ht="14.45" customHeight="1" x14ac:dyDescent="0.2">
      <c r="B39" s="16"/>
      <c r="L39" s="16"/>
    </row>
    <row r="40" spans="2:12" ht="14.45" customHeight="1" x14ac:dyDescent="0.2">
      <c r="B40" s="16"/>
      <c r="L40" s="16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5"/>
      <c r="D50" s="34" t="s">
        <v>42</v>
      </c>
      <c r="E50" s="35"/>
      <c r="F50" s="35"/>
      <c r="G50" s="34" t="s">
        <v>43</v>
      </c>
      <c r="H50" s="35"/>
      <c r="I50" s="35"/>
      <c r="J50" s="35"/>
      <c r="K50" s="35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5"/>
      <c r="D61" s="36" t="s">
        <v>44</v>
      </c>
      <c r="E61" s="27"/>
      <c r="F61" s="84" t="s">
        <v>45</v>
      </c>
      <c r="G61" s="36" t="s">
        <v>44</v>
      </c>
      <c r="H61" s="27"/>
      <c r="I61" s="27"/>
      <c r="J61" s="85" t="s">
        <v>45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5"/>
      <c r="D65" s="34" t="s">
        <v>46</v>
      </c>
      <c r="E65" s="35"/>
      <c r="F65" s="35"/>
      <c r="G65" s="34" t="s">
        <v>47</v>
      </c>
      <c r="H65" s="35"/>
      <c r="I65" s="35"/>
      <c r="J65" s="35"/>
      <c r="K65" s="35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5"/>
      <c r="D76" s="36" t="s">
        <v>44</v>
      </c>
      <c r="E76" s="27"/>
      <c r="F76" s="84" t="s">
        <v>45</v>
      </c>
      <c r="G76" s="36" t="s">
        <v>44</v>
      </c>
      <c r="H76" s="27"/>
      <c r="I76" s="27"/>
      <c r="J76" s="85" t="s">
        <v>45</v>
      </c>
      <c r="K76" s="27"/>
      <c r="L76" s="25"/>
    </row>
    <row r="77" spans="2:12" s="1" customFormat="1" ht="14.45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 x14ac:dyDescent="0.2">
      <c r="B82" s="25"/>
      <c r="C82" s="17" t="s">
        <v>77</v>
      </c>
      <c r="L82" s="25"/>
    </row>
    <row r="83" spans="2:47" s="1" customFormat="1" ht="6.95" customHeight="1" x14ac:dyDescent="0.2">
      <c r="B83" s="25"/>
      <c r="L83" s="25"/>
    </row>
    <row r="84" spans="2:47" s="1" customFormat="1" ht="12" customHeight="1" x14ac:dyDescent="0.2">
      <c r="B84" s="25"/>
      <c r="C84" s="22" t="s">
        <v>13</v>
      </c>
      <c r="L84" s="25"/>
    </row>
    <row r="85" spans="2:47" s="1" customFormat="1" ht="16.5" customHeight="1" x14ac:dyDescent="0.2">
      <c r="B85" s="25"/>
      <c r="E85" s="200" t="str">
        <f>E7</f>
        <v>Sanace vodojemu</v>
      </c>
      <c r="F85" s="219"/>
      <c r="G85" s="219"/>
      <c r="H85" s="219"/>
      <c r="L85" s="25"/>
    </row>
    <row r="86" spans="2:47" s="1" customFormat="1" ht="6.95" customHeight="1" x14ac:dyDescent="0.2">
      <c r="B86" s="25"/>
      <c r="L86" s="25"/>
    </row>
    <row r="87" spans="2:47" s="1" customFormat="1" ht="12" customHeight="1" x14ac:dyDescent="0.2">
      <c r="B87" s="25"/>
      <c r="C87" s="22" t="s">
        <v>17</v>
      </c>
      <c r="F87" s="20" t="str">
        <f>F10</f>
        <v>Hradiště u Kaplice</v>
      </c>
      <c r="I87" s="22" t="s">
        <v>19</v>
      </c>
      <c r="J87" s="45">
        <v>45922</v>
      </c>
      <c r="L87" s="25"/>
    </row>
    <row r="88" spans="2:47" s="1" customFormat="1" ht="6.95" customHeight="1" x14ac:dyDescent="0.2">
      <c r="B88" s="25"/>
      <c r="L88" s="25"/>
    </row>
    <row r="89" spans="2:47" s="1" customFormat="1" ht="15.2" customHeight="1" x14ac:dyDescent="0.2">
      <c r="B89" s="25"/>
      <c r="C89" s="22" t="s">
        <v>20</v>
      </c>
      <c r="F89" s="20" t="str">
        <f>E13</f>
        <v xml:space="preserve"> </v>
      </c>
      <c r="I89" s="22" t="s">
        <v>25</v>
      </c>
      <c r="J89" s="23" t="str">
        <f>E19</f>
        <v xml:space="preserve"> </v>
      </c>
      <c r="L89" s="25"/>
    </row>
    <row r="90" spans="2:47" s="1" customFormat="1" ht="15.2" customHeight="1" x14ac:dyDescent="0.2">
      <c r="B90" s="25"/>
      <c r="C90" s="22" t="s">
        <v>24</v>
      </c>
      <c r="F90" s="20" t="str">
        <f>IF(E16="","",E16)</f>
        <v xml:space="preserve"> </v>
      </c>
      <c r="I90" s="22" t="s">
        <v>27</v>
      </c>
      <c r="J90" s="23" t="str">
        <f>E22</f>
        <v xml:space="preserve"> </v>
      </c>
      <c r="L90" s="25"/>
    </row>
    <row r="91" spans="2:47" s="1" customFormat="1" ht="10.35" customHeight="1" x14ac:dyDescent="0.2">
      <c r="B91" s="25"/>
      <c r="L91" s="25"/>
    </row>
    <row r="92" spans="2:47" s="1" customFormat="1" ht="29.25" customHeight="1" x14ac:dyDescent="0.2">
      <c r="B92" s="25"/>
      <c r="C92" s="86" t="s">
        <v>78</v>
      </c>
      <c r="D92" s="78"/>
      <c r="E92" s="78"/>
      <c r="F92" s="78"/>
      <c r="G92" s="78"/>
      <c r="H92" s="78"/>
      <c r="I92" s="78"/>
      <c r="J92" s="87" t="s">
        <v>79</v>
      </c>
      <c r="K92" s="78"/>
      <c r="L92" s="25"/>
    </row>
    <row r="93" spans="2:47" s="1" customFormat="1" ht="10.35" customHeight="1" x14ac:dyDescent="0.2">
      <c r="B93" s="25"/>
      <c r="L93" s="25"/>
    </row>
    <row r="94" spans="2:47" s="1" customFormat="1" ht="22.9" customHeight="1" x14ac:dyDescent="0.2">
      <c r="B94" s="25"/>
      <c r="C94" s="88" t="s">
        <v>80</v>
      </c>
      <c r="J94" s="59">
        <f>J118</f>
        <v>0</v>
      </c>
      <c r="L94" s="25"/>
      <c r="AU94" s="13" t="s">
        <v>81</v>
      </c>
    </row>
    <row r="95" spans="2:47" s="8" customFormat="1" ht="24.95" customHeight="1" x14ac:dyDescent="0.2">
      <c r="B95" s="89"/>
      <c r="D95" s="90" t="s">
        <v>82</v>
      </c>
      <c r="E95" s="91"/>
      <c r="F95" s="91"/>
      <c r="G95" s="91"/>
      <c r="H95" s="91"/>
      <c r="I95" s="91"/>
      <c r="J95" s="92">
        <f>J119</f>
        <v>0</v>
      </c>
      <c r="L95" s="89"/>
    </row>
    <row r="96" spans="2:47" s="9" customFormat="1" ht="19.899999999999999" customHeight="1" x14ac:dyDescent="0.2">
      <c r="B96" s="93"/>
      <c r="D96" s="94" t="s">
        <v>83</v>
      </c>
      <c r="E96" s="95"/>
      <c r="F96" s="95"/>
      <c r="G96" s="95"/>
      <c r="H96" s="95"/>
      <c r="I96" s="95"/>
      <c r="J96" s="96">
        <f>J120</f>
        <v>0</v>
      </c>
      <c r="L96" s="93"/>
    </row>
    <row r="97" spans="2:12" s="9" customFormat="1" ht="19.899999999999999" customHeight="1" x14ac:dyDescent="0.2">
      <c r="B97" s="93"/>
      <c r="D97" s="94" t="s">
        <v>84</v>
      </c>
      <c r="E97" s="95"/>
      <c r="F97" s="95"/>
      <c r="G97" s="95"/>
      <c r="H97" s="95"/>
      <c r="I97" s="95"/>
      <c r="J97" s="96">
        <f>J133</f>
        <v>0</v>
      </c>
      <c r="L97" s="93"/>
    </row>
    <row r="98" spans="2:12" s="8" customFormat="1" ht="24.95" customHeight="1" x14ac:dyDescent="0.2">
      <c r="B98" s="89"/>
      <c r="D98" s="90" t="s">
        <v>85</v>
      </c>
      <c r="E98" s="91"/>
      <c r="F98" s="91"/>
      <c r="G98" s="91"/>
      <c r="H98" s="91"/>
      <c r="I98" s="91"/>
      <c r="J98" s="92">
        <f>J135</f>
        <v>0</v>
      </c>
      <c r="L98" s="89"/>
    </row>
    <row r="99" spans="2:12" s="9" customFormat="1" ht="19.899999999999999" customHeight="1" x14ac:dyDescent="0.2">
      <c r="B99" s="93"/>
      <c r="D99" s="94" t="s">
        <v>86</v>
      </c>
      <c r="E99" s="95"/>
      <c r="F99" s="95"/>
      <c r="G99" s="95"/>
      <c r="H99" s="95"/>
      <c r="I99" s="95"/>
      <c r="J99" s="96">
        <f>J136</f>
        <v>0</v>
      </c>
      <c r="L99" s="93"/>
    </row>
    <row r="100" spans="2:12" s="9" customFormat="1" ht="19.899999999999999" customHeight="1" x14ac:dyDescent="0.2">
      <c r="B100" s="93"/>
      <c r="D100" s="94" t="s">
        <v>87</v>
      </c>
      <c r="E100" s="95"/>
      <c r="F100" s="95"/>
      <c r="G100" s="95"/>
      <c r="H100" s="95"/>
      <c r="I100" s="95"/>
      <c r="J100" s="96">
        <f>J138</f>
        <v>0</v>
      </c>
      <c r="L100" s="93"/>
    </row>
    <row r="101" spans="2:12" s="1" customFormat="1" ht="21.75" customHeight="1" x14ac:dyDescent="0.2">
      <c r="B101" s="25"/>
      <c r="L101" s="25"/>
    </row>
    <row r="102" spans="2:12" s="1" customFormat="1" ht="6.95" customHeight="1" x14ac:dyDescent="0.2"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25"/>
    </row>
    <row r="106" spans="2:12" s="1" customFormat="1" ht="6.95" customHeight="1" x14ac:dyDescent="0.2"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25"/>
    </row>
    <row r="107" spans="2:12" s="1" customFormat="1" ht="24.95" customHeight="1" x14ac:dyDescent="0.2">
      <c r="B107" s="25"/>
      <c r="C107" s="17" t="s">
        <v>88</v>
      </c>
      <c r="L107" s="25"/>
    </row>
    <row r="108" spans="2:12" s="1" customFormat="1" ht="6.95" customHeight="1" x14ac:dyDescent="0.2">
      <c r="B108" s="25"/>
      <c r="L108" s="25"/>
    </row>
    <row r="109" spans="2:12" s="1" customFormat="1" ht="12" customHeight="1" x14ac:dyDescent="0.2">
      <c r="B109" s="25"/>
      <c r="C109" s="22" t="s">
        <v>13</v>
      </c>
      <c r="L109" s="25"/>
    </row>
    <row r="110" spans="2:12" s="1" customFormat="1" ht="16.5" customHeight="1" x14ac:dyDescent="0.2">
      <c r="B110" s="25"/>
      <c r="E110" s="200" t="str">
        <f>E7</f>
        <v>Sanace vodojemu</v>
      </c>
      <c r="F110" s="219"/>
      <c r="G110" s="219"/>
      <c r="H110" s="219"/>
      <c r="L110" s="25"/>
    </row>
    <row r="111" spans="2:12" s="1" customFormat="1" ht="6.95" customHeight="1" x14ac:dyDescent="0.2">
      <c r="B111" s="25"/>
      <c r="L111" s="25"/>
    </row>
    <row r="112" spans="2:12" s="1" customFormat="1" ht="12" customHeight="1" x14ac:dyDescent="0.2">
      <c r="B112" s="25"/>
      <c r="C112" s="22" t="s">
        <v>17</v>
      </c>
      <c r="F112" s="20" t="str">
        <f>F10</f>
        <v>Hradiště u Kaplice</v>
      </c>
      <c r="I112" s="22" t="s">
        <v>19</v>
      </c>
      <c r="J112" s="45">
        <v>45922</v>
      </c>
      <c r="L112" s="25"/>
    </row>
    <row r="113" spans="2:65" s="1" customFormat="1" ht="6.95" customHeight="1" x14ac:dyDescent="0.2">
      <c r="B113" s="25"/>
      <c r="L113" s="25"/>
    </row>
    <row r="114" spans="2:65" s="1" customFormat="1" ht="15.2" customHeight="1" x14ac:dyDescent="0.2">
      <c r="B114" s="25"/>
      <c r="C114" s="22" t="s">
        <v>20</v>
      </c>
      <c r="F114" s="20" t="str">
        <f>E13</f>
        <v xml:space="preserve"> </v>
      </c>
      <c r="I114" s="22" t="s">
        <v>25</v>
      </c>
      <c r="J114" s="23" t="str">
        <f>E19</f>
        <v xml:space="preserve"> </v>
      </c>
      <c r="L114" s="25"/>
    </row>
    <row r="115" spans="2:65" s="1" customFormat="1" ht="15.2" customHeight="1" x14ac:dyDescent="0.2">
      <c r="B115" s="25"/>
      <c r="C115" s="22" t="s">
        <v>24</v>
      </c>
      <c r="F115" s="20" t="str">
        <f>IF(E16="","",E16)</f>
        <v xml:space="preserve"> </v>
      </c>
      <c r="I115" s="22" t="s">
        <v>27</v>
      </c>
      <c r="J115" s="23" t="str">
        <f>E22</f>
        <v xml:space="preserve"> </v>
      </c>
      <c r="L115" s="25"/>
    </row>
    <row r="116" spans="2:65" s="1" customFormat="1" ht="10.35" customHeight="1" x14ac:dyDescent="0.2">
      <c r="B116" s="25"/>
      <c r="L116" s="25"/>
    </row>
    <row r="117" spans="2:65" s="10" customFormat="1" ht="29.25" customHeight="1" x14ac:dyDescent="0.2">
      <c r="B117" s="97"/>
      <c r="C117" s="98" t="s">
        <v>89</v>
      </c>
      <c r="D117" s="99" t="s">
        <v>54</v>
      </c>
      <c r="E117" s="99" t="s">
        <v>50</v>
      </c>
      <c r="F117" s="99" t="s">
        <v>51</v>
      </c>
      <c r="G117" s="99" t="s">
        <v>90</v>
      </c>
      <c r="H117" s="99" t="s">
        <v>91</v>
      </c>
      <c r="I117" s="99" t="s">
        <v>92</v>
      </c>
      <c r="J117" s="100" t="s">
        <v>79</v>
      </c>
      <c r="K117" s="101" t="s">
        <v>93</v>
      </c>
      <c r="L117" s="97"/>
      <c r="M117" s="52" t="s">
        <v>1</v>
      </c>
      <c r="N117" s="53" t="s">
        <v>33</v>
      </c>
      <c r="O117" s="53" t="s">
        <v>94</v>
      </c>
      <c r="P117" s="53" t="s">
        <v>95</v>
      </c>
      <c r="Q117" s="53" t="s">
        <v>96</v>
      </c>
      <c r="R117" s="53" t="s">
        <v>97</v>
      </c>
      <c r="S117" s="53" t="s">
        <v>98</v>
      </c>
      <c r="T117" s="54" t="s">
        <v>99</v>
      </c>
    </row>
    <row r="118" spans="2:65" s="1" customFormat="1" ht="22.9" customHeight="1" x14ac:dyDescent="0.25">
      <c r="B118" s="25"/>
      <c r="C118" s="57" t="s">
        <v>100</v>
      </c>
      <c r="J118" s="102">
        <f>BK118</f>
        <v>0</v>
      </c>
      <c r="L118" s="25"/>
      <c r="M118" s="55"/>
      <c r="N118" s="46"/>
      <c r="O118" s="46"/>
      <c r="P118" s="103">
        <f>P119+P135</f>
        <v>260.26195000000001</v>
      </c>
      <c r="Q118" s="46"/>
      <c r="R118" s="103">
        <f>R119+R135</f>
        <v>0.50991496000000003</v>
      </c>
      <c r="S118" s="46"/>
      <c r="T118" s="104">
        <f>T119+T135</f>
        <v>2.9428459999999994</v>
      </c>
      <c r="AT118" s="13" t="s">
        <v>68</v>
      </c>
      <c r="AU118" s="13" t="s">
        <v>81</v>
      </c>
      <c r="BK118" s="105">
        <f>BK119+BK135</f>
        <v>0</v>
      </c>
    </row>
    <row r="119" spans="2:65" s="11" customFormat="1" ht="25.9" customHeight="1" x14ac:dyDescent="0.2">
      <c r="B119" s="106"/>
      <c r="D119" s="107" t="s">
        <v>68</v>
      </c>
      <c r="E119" s="108" t="s">
        <v>101</v>
      </c>
      <c r="F119" s="108" t="s">
        <v>102</v>
      </c>
      <c r="J119" s="109">
        <f>BK119</f>
        <v>0</v>
      </c>
      <c r="L119" s="106"/>
      <c r="M119" s="110"/>
      <c r="P119" s="111">
        <f>P120+P133</f>
        <v>260.26195000000001</v>
      </c>
      <c r="R119" s="111">
        <f>R120+R133</f>
        <v>0.50991496000000003</v>
      </c>
      <c r="T119" s="112">
        <f>T120+T133</f>
        <v>2.9428459999999994</v>
      </c>
      <c r="AR119" s="107" t="s">
        <v>73</v>
      </c>
      <c r="AT119" s="113" t="s">
        <v>68</v>
      </c>
      <c r="AU119" s="113" t="s">
        <v>69</v>
      </c>
      <c r="AY119" s="107" t="s">
        <v>103</v>
      </c>
      <c r="BK119" s="114">
        <f>BK120+BK133</f>
        <v>0</v>
      </c>
    </row>
    <row r="120" spans="2:65" s="11" customFormat="1" ht="22.9" customHeight="1" x14ac:dyDescent="0.2">
      <c r="B120" s="106"/>
      <c r="D120" s="107" t="s">
        <v>68</v>
      </c>
      <c r="E120" s="115" t="s">
        <v>104</v>
      </c>
      <c r="F120" s="115" t="s">
        <v>105</v>
      </c>
      <c r="J120" s="116">
        <f>BK120</f>
        <v>0</v>
      </c>
      <c r="L120" s="106"/>
      <c r="M120" s="110"/>
      <c r="P120" s="111">
        <f>SUM(P121:P132)</f>
        <v>259.82539000000003</v>
      </c>
      <c r="R120" s="111">
        <f>SUM(R121:R132)</f>
        <v>0.50991496000000003</v>
      </c>
      <c r="T120" s="112">
        <f>SUM(T121:T132)</f>
        <v>2.9428459999999994</v>
      </c>
      <c r="AR120" s="107" t="s">
        <v>73</v>
      </c>
      <c r="AT120" s="113" t="s">
        <v>68</v>
      </c>
      <c r="AU120" s="113" t="s">
        <v>73</v>
      </c>
      <c r="AY120" s="107" t="s">
        <v>103</v>
      </c>
      <c r="BK120" s="114">
        <f>SUM(BK121:BK132)</f>
        <v>0</v>
      </c>
    </row>
    <row r="121" spans="2:65" s="1" customFormat="1" ht="24.2" customHeight="1" x14ac:dyDescent="0.2">
      <c r="B121" s="117"/>
      <c r="C121" s="118" t="s">
        <v>73</v>
      </c>
      <c r="D121" s="118" t="s">
        <v>106</v>
      </c>
      <c r="E121" s="119" t="s">
        <v>107</v>
      </c>
      <c r="F121" s="120" t="s">
        <v>108</v>
      </c>
      <c r="G121" s="121" t="s">
        <v>109</v>
      </c>
      <c r="H121" s="122">
        <v>42.89</v>
      </c>
      <c r="I121" s="123"/>
      <c r="J121" s="123">
        <f t="shared" ref="J121:J132" si="0">ROUND(I121*H121,2)</f>
        <v>0</v>
      </c>
      <c r="K121" s="124"/>
      <c r="L121" s="25"/>
      <c r="M121" s="125" t="s">
        <v>1</v>
      </c>
      <c r="N121" s="126" t="s">
        <v>34</v>
      </c>
      <c r="O121" s="127">
        <v>0.27300000000000002</v>
      </c>
      <c r="P121" s="127">
        <f t="shared" ref="P121:P132" si="1">O121*H121</f>
        <v>11.708970000000001</v>
      </c>
      <c r="Q121" s="127">
        <v>0</v>
      </c>
      <c r="R121" s="127">
        <f t="shared" ref="R121:R132" si="2">Q121*H121</f>
        <v>0</v>
      </c>
      <c r="S121" s="127">
        <v>0</v>
      </c>
      <c r="T121" s="128">
        <f t="shared" ref="T121:T132" si="3">S121*H121</f>
        <v>0</v>
      </c>
      <c r="AR121" s="129" t="s">
        <v>110</v>
      </c>
      <c r="AT121" s="129" t="s">
        <v>106</v>
      </c>
      <c r="AU121" s="129" t="s">
        <v>75</v>
      </c>
      <c r="AY121" s="13" t="s">
        <v>103</v>
      </c>
      <c r="BE121" s="130">
        <f t="shared" ref="BE121:BE132" si="4">IF(N121="základní",J121,0)</f>
        <v>0</v>
      </c>
      <c r="BF121" s="130">
        <f t="shared" ref="BF121:BF132" si="5">IF(N121="snížená",J121,0)</f>
        <v>0</v>
      </c>
      <c r="BG121" s="130">
        <f t="shared" ref="BG121:BG132" si="6">IF(N121="zákl. přenesená",J121,0)</f>
        <v>0</v>
      </c>
      <c r="BH121" s="130">
        <f t="shared" ref="BH121:BH132" si="7">IF(N121="sníž. přenesená",J121,0)</f>
        <v>0</v>
      </c>
      <c r="BI121" s="130">
        <f t="shared" ref="BI121:BI132" si="8">IF(N121="nulová",J121,0)</f>
        <v>0</v>
      </c>
      <c r="BJ121" s="13" t="s">
        <v>73</v>
      </c>
      <c r="BK121" s="130">
        <f t="shared" ref="BK121:BK132" si="9">ROUND(I121*H121,2)</f>
        <v>0</v>
      </c>
      <c r="BL121" s="13" t="s">
        <v>110</v>
      </c>
      <c r="BM121" s="129" t="s">
        <v>111</v>
      </c>
    </row>
    <row r="122" spans="2:65" s="1" customFormat="1" ht="21.75" customHeight="1" x14ac:dyDescent="0.2">
      <c r="B122" s="117"/>
      <c r="C122" s="118" t="s">
        <v>75</v>
      </c>
      <c r="D122" s="118" t="s">
        <v>106</v>
      </c>
      <c r="E122" s="119" t="s">
        <v>112</v>
      </c>
      <c r="F122" s="120" t="s">
        <v>170</v>
      </c>
      <c r="G122" s="121" t="s">
        <v>109</v>
      </c>
      <c r="H122" s="122">
        <v>26.388000000000002</v>
      </c>
      <c r="I122" s="123"/>
      <c r="J122" s="123">
        <f t="shared" si="0"/>
        <v>0</v>
      </c>
      <c r="K122" s="124"/>
      <c r="L122" s="25"/>
      <c r="M122" s="125" t="s">
        <v>1</v>
      </c>
      <c r="N122" s="126" t="s">
        <v>34</v>
      </c>
      <c r="O122" s="127">
        <v>0.33500000000000002</v>
      </c>
      <c r="P122" s="127">
        <f t="shared" si="1"/>
        <v>8.8399800000000006</v>
      </c>
      <c r="Q122" s="127">
        <v>0</v>
      </c>
      <c r="R122" s="127">
        <f t="shared" si="2"/>
        <v>0</v>
      </c>
      <c r="S122" s="127">
        <v>0</v>
      </c>
      <c r="T122" s="128">
        <f t="shared" si="3"/>
        <v>0</v>
      </c>
      <c r="AR122" s="129" t="s">
        <v>110</v>
      </c>
      <c r="AT122" s="129" t="s">
        <v>106</v>
      </c>
      <c r="AU122" s="129" t="s">
        <v>75</v>
      </c>
      <c r="AY122" s="13" t="s">
        <v>103</v>
      </c>
      <c r="BE122" s="130">
        <f t="shared" si="4"/>
        <v>0</v>
      </c>
      <c r="BF122" s="130">
        <f t="shared" si="5"/>
        <v>0</v>
      </c>
      <c r="BG122" s="130">
        <f t="shared" si="6"/>
        <v>0</v>
      </c>
      <c r="BH122" s="130">
        <f t="shared" si="7"/>
        <v>0</v>
      </c>
      <c r="BI122" s="130">
        <f t="shared" si="8"/>
        <v>0</v>
      </c>
      <c r="BJ122" s="13" t="s">
        <v>73</v>
      </c>
      <c r="BK122" s="130">
        <f t="shared" si="9"/>
        <v>0</v>
      </c>
      <c r="BL122" s="13" t="s">
        <v>110</v>
      </c>
      <c r="BM122" s="129" t="s">
        <v>113</v>
      </c>
    </row>
    <row r="123" spans="2:65" s="1" customFormat="1" ht="24.2" customHeight="1" x14ac:dyDescent="0.2">
      <c r="B123" s="117"/>
      <c r="C123" s="118" t="s">
        <v>114</v>
      </c>
      <c r="D123" s="118" t="s">
        <v>106</v>
      </c>
      <c r="E123" s="119" t="s">
        <v>115</v>
      </c>
      <c r="F123" s="120" t="s">
        <v>116</v>
      </c>
      <c r="G123" s="121" t="s">
        <v>109</v>
      </c>
      <c r="H123" s="122">
        <v>10</v>
      </c>
      <c r="I123" s="123"/>
      <c r="J123" s="123">
        <f t="shared" si="0"/>
        <v>0</v>
      </c>
      <c r="K123" s="124"/>
      <c r="L123" s="25"/>
      <c r="M123" s="125" t="s">
        <v>1</v>
      </c>
      <c r="N123" s="126" t="s">
        <v>34</v>
      </c>
      <c r="O123" s="127">
        <v>1.05</v>
      </c>
      <c r="P123" s="127">
        <f t="shared" si="1"/>
        <v>10.5</v>
      </c>
      <c r="Q123" s="127">
        <v>2.0140000000000002E-2</v>
      </c>
      <c r="R123" s="127">
        <f t="shared" si="2"/>
        <v>0.20140000000000002</v>
      </c>
      <c r="S123" s="127">
        <v>0</v>
      </c>
      <c r="T123" s="128">
        <f t="shared" si="3"/>
        <v>0</v>
      </c>
      <c r="AR123" s="129" t="s">
        <v>110</v>
      </c>
      <c r="AT123" s="129" t="s">
        <v>106</v>
      </c>
      <c r="AU123" s="129" t="s">
        <v>75</v>
      </c>
      <c r="AY123" s="13" t="s">
        <v>103</v>
      </c>
      <c r="BE123" s="130">
        <f t="shared" si="4"/>
        <v>0</v>
      </c>
      <c r="BF123" s="130">
        <f t="shared" si="5"/>
        <v>0</v>
      </c>
      <c r="BG123" s="130">
        <f t="shared" si="6"/>
        <v>0</v>
      </c>
      <c r="BH123" s="130">
        <f t="shared" si="7"/>
        <v>0</v>
      </c>
      <c r="BI123" s="130">
        <f t="shared" si="8"/>
        <v>0</v>
      </c>
      <c r="BJ123" s="13" t="s">
        <v>73</v>
      </c>
      <c r="BK123" s="130">
        <f t="shared" si="9"/>
        <v>0</v>
      </c>
      <c r="BL123" s="13" t="s">
        <v>110</v>
      </c>
      <c r="BM123" s="129" t="s">
        <v>117</v>
      </c>
    </row>
    <row r="124" spans="2:65" s="1" customFormat="1" ht="24" customHeight="1" x14ac:dyDescent="0.2">
      <c r="B124" s="117"/>
      <c r="C124" s="118" t="s">
        <v>110</v>
      </c>
      <c r="D124" s="118" t="s">
        <v>106</v>
      </c>
      <c r="E124" s="119" t="s">
        <v>118</v>
      </c>
      <c r="F124" s="120" t="s">
        <v>174</v>
      </c>
      <c r="G124" s="121" t="s">
        <v>109</v>
      </c>
      <c r="H124" s="122">
        <v>26.388000000000002</v>
      </c>
      <c r="I124" s="123"/>
      <c r="J124" s="123">
        <f t="shared" si="0"/>
        <v>0</v>
      </c>
      <c r="K124" s="124"/>
      <c r="L124" s="25"/>
      <c r="M124" s="125" t="s">
        <v>1</v>
      </c>
      <c r="N124" s="126" t="s">
        <v>34</v>
      </c>
      <c r="O124" s="127">
        <v>0.36499999999999999</v>
      </c>
      <c r="P124" s="127">
        <f t="shared" si="1"/>
        <v>9.6316199999999998</v>
      </c>
      <c r="Q124" s="127">
        <v>4.6999999999999999E-4</v>
      </c>
      <c r="R124" s="127">
        <f t="shared" si="2"/>
        <v>1.2402360000000001E-2</v>
      </c>
      <c r="S124" s="127">
        <v>0</v>
      </c>
      <c r="T124" s="128">
        <f t="shared" si="3"/>
        <v>0</v>
      </c>
      <c r="AR124" s="129" t="s">
        <v>110</v>
      </c>
      <c r="AT124" s="129" t="s">
        <v>106</v>
      </c>
      <c r="AU124" s="129" t="s">
        <v>75</v>
      </c>
      <c r="AY124" s="13" t="s">
        <v>103</v>
      </c>
      <c r="BE124" s="130">
        <f t="shared" si="4"/>
        <v>0</v>
      </c>
      <c r="BF124" s="130">
        <f t="shared" si="5"/>
        <v>0</v>
      </c>
      <c r="BG124" s="130">
        <f t="shared" si="6"/>
        <v>0</v>
      </c>
      <c r="BH124" s="130">
        <f t="shared" si="7"/>
        <v>0</v>
      </c>
      <c r="BI124" s="130">
        <f t="shared" si="8"/>
        <v>0</v>
      </c>
      <c r="BJ124" s="13" t="s">
        <v>73</v>
      </c>
      <c r="BK124" s="130">
        <f t="shared" si="9"/>
        <v>0</v>
      </c>
      <c r="BL124" s="13" t="s">
        <v>110</v>
      </c>
      <c r="BM124" s="129" t="s">
        <v>119</v>
      </c>
    </row>
    <row r="125" spans="2:65" s="1" customFormat="1" ht="24.2" customHeight="1" x14ac:dyDescent="0.2">
      <c r="B125" s="117"/>
      <c r="C125" s="118" t="s">
        <v>120</v>
      </c>
      <c r="D125" s="118" t="s">
        <v>106</v>
      </c>
      <c r="E125" s="119" t="s">
        <v>121</v>
      </c>
      <c r="F125" s="120" t="s">
        <v>172</v>
      </c>
      <c r="G125" s="121" t="s">
        <v>109</v>
      </c>
      <c r="H125" s="122">
        <v>27.48</v>
      </c>
      <c r="I125" s="123"/>
      <c r="J125" s="123">
        <f t="shared" si="0"/>
        <v>0</v>
      </c>
      <c r="K125" s="124"/>
      <c r="L125" s="25"/>
      <c r="M125" s="125" t="s">
        <v>1</v>
      </c>
      <c r="N125" s="126" t="s">
        <v>34</v>
      </c>
      <c r="O125" s="127">
        <v>0.747</v>
      </c>
      <c r="P125" s="127">
        <f t="shared" si="1"/>
        <v>20.527560000000001</v>
      </c>
      <c r="Q125" s="127">
        <v>0</v>
      </c>
      <c r="R125" s="127">
        <f t="shared" si="2"/>
        <v>0</v>
      </c>
      <c r="S125" s="127">
        <v>2.2499999999999999E-2</v>
      </c>
      <c r="T125" s="128">
        <f t="shared" si="3"/>
        <v>0.61829999999999996</v>
      </c>
      <c r="AR125" s="129" t="s">
        <v>110</v>
      </c>
      <c r="AT125" s="129" t="s">
        <v>106</v>
      </c>
      <c r="AU125" s="129" t="s">
        <v>75</v>
      </c>
      <c r="AY125" s="13" t="s">
        <v>103</v>
      </c>
      <c r="BE125" s="130">
        <f t="shared" si="4"/>
        <v>0</v>
      </c>
      <c r="BF125" s="130">
        <f t="shared" si="5"/>
        <v>0</v>
      </c>
      <c r="BG125" s="130">
        <f t="shared" si="6"/>
        <v>0</v>
      </c>
      <c r="BH125" s="130">
        <f t="shared" si="7"/>
        <v>0</v>
      </c>
      <c r="BI125" s="130">
        <f t="shared" si="8"/>
        <v>0</v>
      </c>
      <c r="BJ125" s="13" t="s">
        <v>73</v>
      </c>
      <c r="BK125" s="130">
        <f t="shared" si="9"/>
        <v>0</v>
      </c>
      <c r="BL125" s="13" t="s">
        <v>110</v>
      </c>
      <c r="BM125" s="129" t="s">
        <v>122</v>
      </c>
    </row>
    <row r="126" spans="2:65" s="1" customFormat="1" ht="24.2" customHeight="1" x14ac:dyDescent="0.2">
      <c r="B126" s="117"/>
      <c r="C126" s="118" t="s">
        <v>123</v>
      </c>
      <c r="D126" s="118" t="s">
        <v>106</v>
      </c>
      <c r="E126" s="119" t="s">
        <v>124</v>
      </c>
      <c r="F126" s="120" t="s">
        <v>125</v>
      </c>
      <c r="G126" s="121" t="s">
        <v>109</v>
      </c>
      <c r="H126" s="122">
        <v>274.8</v>
      </c>
      <c r="I126" s="123"/>
      <c r="J126" s="123">
        <f t="shared" si="0"/>
        <v>0</v>
      </c>
      <c r="K126" s="124"/>
      <c r="L126" s="25"/>
      <c r="M126" s="125" t="s">
        <v>1</v>
      </c>
      <c r="N126" s="126" t="s">
        <v>34</v>
      </c>
      <c r="O126" s="127">
        <v>0.125</v>
      </c>
      <c r="P126" s="127">
        <f t="shared" si="1"/>
        <v>34.35</v>
      </c>
      <c r="Q126" s="127">
        <v>0</v>
      </c>
      <c r="R126" s="127">
        <f t="shared" si="2"/>
        <v>0</v>
      </c>
      <c r="S126" s="127">
        <v>4.4999999999999997E-3</v>
      </c>
      <c r="T126" s="128">
        <f t="shared" si="3"/>
        <v>1.2365999999999999</v>
      </c>
      <c r="AR126" s="129" t="s">
        <v>110</v>
      </c>
      <c r="AT126" s="129" t="s">
        <v>106</v>
      </c>
      <c r="AU126" s="129" t="s">
        <v>75</v>
      </c>
      <c r="AY126" s="13" t="s">
        <v>103</v>
      </c>
      <c r="BE126" s="130">
        <f t="shared" si="4"/>
        <v>0</v>
      </c>
      <c r="BF126" s="130">
        <f t="shared" si="5"/>
        <v>0</v>
      </c>
      <c r="BG126" s="130">
        <f t="shared" si="6"/>
        <v>0</v>
      </c>
      <c r="BH126" s="130">
        <f t="shared" si="7"/>
        <v>0</v>
      </c>
      <c r="BI126" s="130">
        <f t="shared" si="8"/>
        <v>0</v>
      </c>
      <c r="BJ126" s="13" t="s">
        <v>73</v>
      </c>
      <c r="BK126" s="130">
        <f t="shared" si="9"/>
        <v>0</v>
      </c>
      <c r="BL126" s="13" t="s">
        <v>110</v>
      </c>
      <c r="BM126" s="129" t="s">
        <v>126</v>
      </c>
    </row>
    <row r="127" spans="2:65" s="1" customFormat="1" ht="24.2" customHeight="1" x14ac:dyDescent="0.2">
      <c r="B127" s="117"/>
      <c r="C127" s="118" t="s">
        <v>127</v>
      </c>
      <c r="D127" s="118" t="s">
        <v>106</v>
      </c>
      <c r="E127" s="119" t="s">
        <v>128</v>
      </c>
      <c r="F127" s="120" t="s">
        <v>173</v>
      </c>
      <c r="G127" s="121" t="s">
        <v>109</v>
      </c>
      <c r="H127" s="122">
        <v>15.41</v>
      </c>
      <c r="I127" s="123"/>
      <c r="J127" s="123">
        <f t="shared" si="0"/>
        <v>0</v>
      </c>
      <c r="K127" s="124"/>
      <c r="L127" s="25"/>
      <c r="M127" s="125" t="s">
        <v>1</v>
      </c>
      <c r="N127" s="126" t="s">
        <v>34</v>
      </c>
      <c r="O127" s="127">
        <v>0.93400000000000005</v>
      </c>
      <c r="P127" s="127">
        <f t="shared" si="1"/>
        <v>14.392940000000001</v>
      </c>
      <c r="Q127" s="127">
        <v>0</v>
      </c>
      <c r="R127" s="127">
        <f t="shared" si="2"/>
        <v>0</v>
      </c>
      <c r="S127" s="127">
        <v>2.3599999999999999E-2</v>
      </c>
      <c r="T127" s="128">
        <f t="shared" si="3"/>
        <v>0.363676</v>
      </c>
      <c r="AR127" s="129" t="s">
        <v>110</v>
      </c>
      <c r="AT127" s="129" t="s">
        <v>106</v>
      </c>
      <c r="AU127" s="129" t="s">
        <v>75</v>
      </c>
      <c r="AY127" s="13" t="s">
        <v>103</v>
      </c>
      <c r="BE127" s="130">
        <f t="shared" si="4"/>
        <v>0</v>
      </c>
      <c r="BF127" s="130">
        <f t="shared" si="5"/>
        <v>0</v>
      </c>
      <c r="BG127" s="130">
        <f t="shared" si="6"/>
        <v>0</v>
      </c>
      <c r="BH127" s="130">
        <f t="shared" si="7"/>
        <v>0</v>
      </c>
      <c r="BI127" s="130">
        <f t="shared" si="8"/>
        <v>0</v>
      </c>
      <c r="BJ127" s="13" t="s">
        <v>73</v>
      </c>
      <c r="BK127" s="130">
        <f t="shared" si="9"/>
        <v>0</v>
      </c>
      <c r="BL127" s="13" t="s">
        <v>110</v>
      </c>
      <c r="BM127" s="129" t="s">
        <v>129</v>
      </c>
    </row>
    <row r="128" spans="2:65" s="1" customFormat="1" ht="33" customHeight="1" x14ac:dyDescent="0.2">
      <c r="B128" s="117"/>
      <c r="C128" s="118" t="s">
        <v>130</v>
      </c>
      <c r="D128" s="118" t="s">
        <v>106</v>
      </c>
      <c r="E128" s="119" t="s">
        <v>131</v>
      </c>
      <c r="F128" s="120" t="s">
        <v>132</v>
      </c>
      <c r="G128" s="121" t="s">
        <v>109</v>
      </c>
      <c r="H128" s="122">
        <v>154.1</v>
      </c>
      <c r="I128" s="123"/>
      <c r="J128" s="123">
        <f t="shared" si="0"/>
        <v>0</v>
      </c>
      <c r="K128" s="124"/>
      <c r="L128" s="25"/>
      <c r="M128" s="125" t="s">
        <v>1</v>
      </c>
      <c r="N128" s="126" t="s">
        <v>34</v>
      </c>
      <c r="O128" s="127">
        <v>0.14899999999999999</v>
      </c>
      <c r="P128" s="127">
        <f t="shared" si="1"/>
        <v>22.960899999999999</v>
      </c>
      <c r="Q128" s="127">
        <v>0</v>
      </c>
      <c r="R128" s="127">
        <f t="shared" si="2"/>
        <v>0</v>
      </c>
      <c r="S128" s="127">
        <v>4.7000000000000002E-3</v>
      </c>
      <c r="T128" s="128">
        <f t="shared" si="3"/>
        <v>0.72426999999999997</v>
      </c>
      <c r="AR128" s="129" t="s">
        <v>110</v>
      </c>
      <c r="AT128" s="129" t="s">
        <v>106</v>
      </c>
      <c r="AU128" s="129" t="s">
        <v>75</v>
      </c>
      <c r="AY128" s="13" t="s">
        <v>103</v>
      </c>
      <c r="BE128" s="130">
        <f t="shared" si="4"/>
        <v>0</v>
      </c>
      <c r="BF128" s="130">
        <f t="shared" si="5"/>
        <v>0</v>
      </c>
      <c r="BG128" s="130">
        <f t="shared" si="6"/>
        <v>0</v>
      </c>
      <c r="BH128" s="130">
        <f t="shared" si="7"/>
        <v>0</v>
      </c>
      <c r="BI128" s="130">
        <f t="shared" si="8"/>
        <v>0</v>
      </c>
      <c r="BJ128" s="13" t="s">
        <v>73</v>
      </c>
      <c r="BK128" s="130">
        <f t="shared" si="9"/>
        <v>0</v>
      </c>
      <c r="BL128" s="13" t="s">
        <v>110</v>
      </c>
      <c r="BM128" s="129" t="s">
        <v>133</v>
      </c>
    </row>
    <row r="129" spans="2:65" s="1" customFormat="1" ht="24.2" customHeight="1" x14ac:dyDescent="0.2">
      <c r="B129" s="117"/>
      <c r="C129" s="118" t="s">
        <v>104</v>
      </c>
      <c r="D129" s="118" t="s">
        <v>106</v>
      </c>
      <c r="E129" s="119" t="s">
        <v>134</v>
      </c>
      <c r="F129" s="120" t="s">
        <v>171</v>
      </c>
      <c r="G129" s="121" t="s">
        <v>109</v>
      </c>
      <c r="H129" s="122">
        <v>42.89</v>
      </c>
      <c r="I129" s="123"/>
      <c r="J129" s="123">
        <f t="shared" si="0"/>
        <v>0</v>
      </c>
      <c r="K129" s="124"/>
      <c r="L129" s="25"/>
      <c r="M129" s="125" t="s">
        <v>1</v>
      </c>
      <c r="N129" s="126" t="s">
        <v>34</v>
      </c>
      <c r="O129" s="127">
        <v>0.65</v>
      </c>
      <c r="P129" s="127">
        <f t="shared" si="1"/>
        <v>27.878500000000003</v>
      </c>
      <c r="Q129" s="127">
        <v>0</v>
      </c>
      <c r="R129" s="127">
        <f t="shared" si="2"/>
        <v>0</v>
      </c>
      <c r="S129" s="127">
        <v>0</v>
      </c>
      <c r="T129" s="128">
        <f t="shared" si="3"/>
        <v>0</v>
      </c>
      <c r="AR129" s="129" t="s">
        <v>110</v>
      </c>
      <c r="AT129" s="129" t="s">
        <v>106</v>
      </c>
      <c r="AU129" s="129" t="s">
        <v>75</v>
      </c>
      <c r="AY129" s="13" t="s">
        <v>103</v>
      </c>
      <c r="BE129" s="130">
        <f t="shared" si="4"/>
        <v>0</v>
      </c>
      <c r="BF129" s="130">
        <f t="shared" si="5"/>
        <v>0</v>
      </c>
      <c r="BG129" s="130">
        <f t="shared" si="6"/>
        <v>0</v>
      </c>
      <c r="BH129" s="130">
        <f t="shared" si="7"/>
        <v>0</v>
      </c>
      <c r="BI129" s="130">
        <f t="shared" si="8"/>
        <v>0</v>
      </c>
      <c r="BJ129" s="13" t="s">
        <v>73</v>
      </c>
      <c r="BK129" s="130">
        <f t="shared" si="9"/>
        <v>0</v>
      </c>
      <c r="BL129" s="13" t="s">
        <v>110</v>
      </c>
      <c r="BM129" s="129" t="s">
        <v>135</v>
      </c>
    </row>
    <row r="130" spans="2:65" s="1" customFormat="1" ht="33" customHeight="1" x14ac:dyDescent="0.2">
      <c r="B130" s="117"/>
      <c r="C130" s="118" t="s">
        <v>136</v>
      </c>
      <c r="D130" s="118" t="s">
        <v>106</v>
      </c>
      <c r="E130" s="119" t="s">
        <v>137</v>
      </c>
      <c r="F130" s="120" t="s">
        <v>138</v>
      </c>
      <c r="G130" s="121" t="s">
        <v>109</v>
      </c>
      <c r="H130" s="122">
        <v>27.48</v>
      </c>
      <c r="I130" s="123"/>
      <c r="J130" s="123">
        <f t="shared" si="0"/>
        <v>0</v>
      </c>
      <c r="K130" s="124"/>
      <c r="L130" s="25"/>
      <c r="M130" s="125" t="s">
        <v>1</v>
      </c>
      <c r="N130" s="126" t="s">
        <v>34</v>
      </c>
      <c r="O130" s="127">
        <v>0.47899999999999998</v>
      </c>
      <c r="P130" s="127">
        <f t="shared" si="1"/>
        <v>13.16292</v>
      </c>
      <c r="Q130" s="127">
        <v>5.3400000000000001E-3</v>
      </c>
      <c r="R130" s="127">
        <f t="shared" si="2"/>
        <v>0.14674320000000002</v>
      </c>
      <c r="S130" s="127">
        <v>0</v>
      </c>
      <c r="T130" s="128">
        <f t="shared" si="3"/>
        <v>0</v>
      </c>
      <c r="AR130" s="129" t="s">
        <v>110</v>
      </c>
      <c r="AT130" s="129" t="s">
        <v>106</v>
      </c>
      <c r="AU130" s="129" t="s">
        <v>75</v>
      </c>
      <c r="AY130" s="13" t="s">
        <v>103</v>
      </c>
      <c r="BE130" s="130">
        <f t="shared" si="4"/>
        <v>0</v>
      </c>
      <c r="BF130" s="130">
        <f t="shared" si="5"/>
        <v>0</v>
      </c>
      <c r="BG130" s="130">
        <f t="shared" si="6"/>
        <v>0</v>
      </c>
      <c r="BH130" s="130">
        <f t="shared" si="7"/>
        <v>0</v>
      </c>
      <c r="BI130" s="130">
        <f t="shared" si="8"/>
        <v>0</v>
      </c>
      <c r="BJ130" s="13" t="s">
        <v>73</v>
      </c>
      <c r="BK130" s="130">
        <f t="shared" si="9"/>
        <v>0</v>
      </c>
      <c r="BL130" s="13" t="s">
        <v>110</v>
      </c>
      <c r="BM130" s="129" t="s">
        <v>139</v>
      </c>
    </row>
    <row r="131" spans="2:65" s="1" customFormat="1" ht="33" customHeight="1" x14ac:dyDescent="0.2">
      <c r="B131" s="117"/>
      <c r="C131" s="118" t="s">
        <v>140</v>
      </c>
      <c r="D131" s="118" t="s">
        <v>106</v>
      </c>
      <c r="E131" s="119" t="s">
        <v>141</v>
      </c>
      <c r="F131" s="120" t="s">
        <v>142</v>
      </c>
      <c r="G131" s="121" t="s">
        <v>109</v>
      </c>
      <c r="H131" s="122">
        <v>15.41</v>
      </c>
      <c r="I131" s="123"/>
      <c r="J131" s="123">
        <f t="shared" si="0"/>
        <v>0</v>
      </c>
      <c r="K131" s="124"/>
      <c r="L131" s="25"/>
      <c r="M131" s="125" t="s">
        <v>1</v>
      </c>
      <c r="N131" s="126" t="s">
        <v>34</v>
      </c>
      <c r="O131" s="127">
        <v>0.6</v>
      </c>
      <c r="P131" s="127">
        <f t="shared" si="1"/>
        <v>9.2460000000000004</v>
      </c>
      <c r="Q131" s="127">
        <v>5.3400000000000001E-3</v>
      </c>
      <c r="R131" s="127">
        <f t="shared" si="2"/>
        <v>8.2289399999999999E-2</v>
      </c>
      <c r="S131" s="127">
        <v>0</v>
      </c>
      <c r="T131" s="128">
        <f t="shared" si="3"/>
        <v>0</v>
      </c>
      <c r="AR131" s="129" t="s">
        <v>110</v>
      </c>
      <c r="AT131" s="129" t="s">
        <v>106</v>
      </c>
      <c r="AU131" s="129" t="s">
        <v>75</v>
      </c>
      <c r="AY131" s="13" t="s">
        <v>103</v>
      </c>
      <c r="BE131" s="130">
        <f t="shared" si="4"/>
        <v>0</v>
      </c>
      <c r="BF131" s="130">
        <f t="shared" si="5"/>
        <v>0</v>
      </c>
      <c r="BG131" s="130">
        <f t="shared" si="6"/>
        <v>0</v>
      </c>
      <c r="BH131" s="130">
        <f t="shared" si="7"/>
        <v>0</v>
      </c>
      <c r="BI131" s="130">
        <f t="shared" si="8"/>
        <v>0</v>
      </c>
      <c r="BJ131" s="13" t="s">
        <v>73</v>
      </c>
      <c r="BK131" s="130">
        <f t="shared" si="9"/>
        <v>0</v>
      </c>
      <c r="BL131" s="13" t="s">
        <v>110</v>
      </c>
      <c r="BM131" s="129" t="s">
        <v>143</v>
      </c>
    </row>
    <row r="132" spans="2:65" s="1" customFormat="1" ht="33" customHeight="1" x14ac:dyDescent="0.2">
      <c r="B132" s="117"/>
      <c r="C132" s="118" t="s">
        <v>8</v>
      </c>
      <c r="D132" s="118" t="s">
        <v>106</v>
      </c>
      <c r="E132" s="119" t="s">
        <v>144</v>
      </c>
      <c r="F132" s="120" t="s">
        <v>145</v>
      </c>
      <c r="G132" s="121" t="s">
        <v>146</v>
      </c>
      <c r="H132" s="122">
        <v>258</v>
      </c>
      <c r="I132" s="123"/>
      <c r="J132" s="123">
        <f t="shared" si="0"/>
        <v>0</v>
      </c>
      <c r="K132" s="124"/>
      <c r="L132" s="25"/>
      <c r="M132" s="125" t="s">
        <v>1</v>
      </c>
      <c r="N132" s="126" t="s">
        <v>34</v>
      </c>
      <c r="O132" s="127">
        <v>0.29699999999999999</v>
      </c>
      <c r="P132" s="127">
        <f t="shared" si="1"/>
        <v>76.625999999999991</v>
      </c>
      <c r="Q132" s="127">
        <v>2.5999999999999998E-4</v>
      </c>
      <c r="R132" s="127">
        <f t="shared" si="2"/>
        <v>6.7080000000000001E-2</v>
      </c>
      <c r="S132" s="127">
        <v>0</v>
      </c>
      <c r="T132" s="128">
        <f t="shared" si="3"/>
        <v>0</v>
      </c>
      <c r="AR132" s="129" t="s">
        <v>110</v>
      </c>
      <c r="AT132" s="129" t="s">
        <v>106</v>
      </c>
      <c r="AU132" s="129" t="s">
        <v>75</v>
      </c>
      <c r="AY132" s="13" t="s">
        <v>103</v>
      </c>
      <c r="BE132" s="130">
        <f t="shared" si="4"/>
        <v>0</v>
      </c>
      <c r="BF132" s="130">
        <f t="shared" si="5"/>
        <v>0</v>
      </c>
      <c r="BG132" s="130">
        <f t="shared" si="6"/>
        <v>0</v>
      </c>
      <c r="BH132" s="130">
        <f t="shared" si="7"/>
        <v>0</v>
      </c>
      <c r="BI132" s="130">
        <f t="shared" si="8"/>
        <v>0</v>
      </c>
      <c r="BJ132" s="13" t="s">
        <v>73</v>
      </c>
      <c r="BK132" s="130">
        <f t="shared" si="9"/>
        <v>0</v>
      </c>
      <c r="BL132" s="13" t="s">
        <v>110</v>
      </c>
      <c r="BM132" s="129" t="s">
        <v>147</v>
      </c>
    </row>
    <row r="133" spans="2:65" s="11" customFormat="1" ht="22.9" customHeight="1" x14ac:dyDescent="0.2">
      <c r="B133" s="106"/>
      <c r="D133" s="107" t="s">
        <v>68</v>
      </c>
      <c r="E133" s="115" t="s">
        <v>148</v>
      </c>
      <c r="F133" s="115" t="s">
        <v>149</v>
      </c>
      <c r="J133" s="116">
        <f>BK133</f>
        <v>0</v>
      </c>
      <c r="L133" s="106"/>
      <c r="M133" s="110"/>
      <c r="P133" s="111">
        <f>P134</f>
        <v>0.43656</v>
      </c>
      <c r="R133" s="111">
        <f>R134</f>
        <v>0</v>
      </c>
      <c r="T133" s="112">
        <f>T134</f>
        <v>0</v>
      </c>
      <c r="AR133" s="107" t="s">
        <v>73</v>
      </c>
      <c r="AT133" s="113" t="s">
        <v>68</v>
      </c>
      <c r="AU133" s="113" t="s">
        <v>73</v>
      </c>
      <c r="AY133" s="107" t="s">
        <v>103</v>
      </c>
      <c r="BK133" s="114">
        <f>BK134</f>
        <v>0</v>
      </c>
    </row>
    <row r="134" spans="2:65" s="1" customFormat="1" ht="16.5" customHeight="1" x14ac:dyDescent="0.2">
      <c r="B134" s="117"/>
      <c r="C134" s="118" t="s">
        <v>150</v>
      </c>
      <c r="D134" s="118" t="s">
        <v>106</v>
      </c>
      <c r="E134" s="119" t="s">
        <v>151</v>
      </c>
      <c r="F134" s="120" t="s">
        <v>152</v>
      </c>
      <c r="G134" s="121" t="s">
        <v>153</v>
      </c>
      <c r="H134" s="122">
        <v>0.51</v>
      </c>
      <c r="I134" s="123"/>
      <c r="J134" s="123">
        <f>ROUND(I134*H134,2)</f>
        <v>0</v>
      </c>
      <c r="K134" s="124"/>
      <c r="L134" s="25"/>
      <c r="M134" s="125" t="s">
        <v>1</v>
      </c>
      <c r="N134" s="126" t="s">
        <v>34</v>
      </c>
      <c r="O134" s="127">
        <v>0.85599999999999998</v>
      </c>
      <c r="P134" s="127">
        <f>O134*H134</f>
        <v>0.43656</v>
      </c>
      <c r="Q134" s="127">
        <v>0</v>
      </c>
      <c r="R134" s="127">
        <f>Q134*H134</f>
        <v>0</v>
      </c>
      <c r="S134" s="127">
        <v>0</v>
      </c>
      <c r="T134" s="128">
        <f>S134*H134</f>
        <v>0</v>
      </c>
      <c r="AR134" s="129" t="s">
        <v>110</v>
      </c>
      <c r="AT134" s="129" t="s">
        <v>106</v>
      </c>
      <c r="AU134" s="129" t="s">
        <v>75</v>
      </c>
      <c r="AY134" s="13" t="s">
        <v>103</v>
      </c>
      <c r="BE134" s="130">
        <f>IF(N134="základní",J134,0)</f>
        <v>0</v>
      </c>
      <c r="BF134" s="130">
        <f>IF(N134="snížená",J134,0)</f>
        <v>0</v>
      </c>
      <c r="BG134" s="130">
        <f>IF(N134="zákl. přenesená",J134,0)</f>
        <v>0</v>
      </c>
      <c r="BH134" s="130">
        <f>IF(N134="sníž. přenesená",J134,0)</f>
        <v>0</v>
      </c>
      <c r="BI134" s="130">
        <f>IF(N134="nulová",J134,0)</f>
        <v>0</v>
      </c>
      <c r="BJ134" s="13" t="s">
        <v>73</v>
      </c>
      <c r="BK134" s="130">
        <f>ROUND(I134*H134,2)</f>
        <v>0</v>
      </c>
      <c r="BL134" s="13" t="s">
        <v>110</v>
      </c>
      <c r="BM134" s="129" t="s">
        <v>154</v>
      </c>
    </row>
    <row r="135" spans="2:65" s="11" customFormat="1" ht="25.9" customHeight="1" x14ac:dyDescent="0.2">
      <c r="B135" s="106"/>
      <c r="D135" s="107" t="s">
        <v>68</v>
      </c>
      <c r="E135" s="108" t="s">
        <v>155</v>
      </c>
      <c r="F135" s="108" t="s">
        <v>156</v>
      </c>
      <c r="J135" s="109">
        <f>BK135</f>
        <v>0</v>
      </c>
      <c r="L135" s="106"/>
      <c r="M135" s="110"/>
      <c r="P135" s="111">
        <f>P136+P138</f>
        <v>0</v>
      </c>
      <c r="R135" s="111">
        <f>R136+R138</f>
        <v>0</v>
      </c>
      <c r="T135" s="112">
        <f>T136+T138</f>
        <v>0</v>
      </c>
      <c r="AR135" s="107" t="s">
        <v>120</v>
      </c>
      <c r="AT135" s="113" t="s">
        <v>68</v>
      </c>
      <c r="AU135" s="113" t="s">
        <v>69</v>
      </c>
      <c r="AY135" s="107" t="s">
        <v>103</v>
      </c>
      <c r="BK135" s="114">
        <f>BK136+BK138</f>
        <v>0</v>
      </c>
    </row>
    <row r="136" spans="2:65" s="11" customFormat="1" ht="22.9" customHeight="1" x14ac:dyDescent="0.2">
      <c r="B136" s="106"/>
      <c r="D136" s="107" t="s">
        <v>68</v>
      </c>
      <c r="E136" s="115" t="s">
        <v>157</v>
      </c>
      <c r="F136" s="115" t="s">
        <v>158</v>
      </c>
      <c r="J136" s="116">
        <f>BK136</f>
        <v>0</v>
      </c>
      <c r="L136" s="106"/>
      <c r="M136" s="110"/>
      <c r="P136" s="111">
        <f>P137</f>
        <v>0</v>
      </c>
      <c r="R136" s="111">
        <f>R137</f>
        <v>0</v>
      </c>
      <c r="T136" s="112">
        <f>T137</f>
        <v>0</v>
      </c>
      <c r="AR136" s="107" t="s">
        <v>120</v>
      </c>
      <c r="AT136" s="113" t="s">
        <v>68</v>
      </c>
      <c r="AU136" s="113" t="s">
        <v>73</v>
      </c>
      <c r="AY136" s="107" t="s">
        <v>103</v>
      </c>
      <c r="BK136" s="114">
        <f>BK137</f>
        <v>0</v>
      </c>
    </row>
    <row r="137" spans="2:65" s="1" customFormat="1" ht="21.75" customHeight="1" x14ac:dyDescent="0.2">
      <c r="B137" s="117"/>
      <c r="C137" s="118" t="s">
        <v>159</v>
      </c>
      <c r="D137" s="118" t="s">
        <v>106</v>
      </c>
      <c r="E137" s="119" t="s">
        <v>160</v>
      </c>
      <c r="F137" s="120" t="s">
        <v>161</v>
      </c>
      <c r="G137" s="121" t="s">
        <v>162</v>
      </c>
      <c r="H137" s="122">
        <v>1</v>
      </c>
      <c r="I137" s="123"/>
      <c r="J137" s="123">
        <f>ROUND(I137*H137,2)</f>
        <v>0</v>
      </c>
      <c r="K137" s="124"/>
      <c r="L137" s="25"/>
      <c r="M137" s="125" t="s">
        <v>1</v>
      </c>
      <c r="N137" s="126" t="s">
        <v>34</v>
      </c>
      <c r="O137" s="127">
        <v>0</v>
      </c>
      <c r="P137" s="127">
        <f>O137*H137</f>
        <v>0</v>
      </c>
      <c r="Q137" s="127">
        <v>0</v>
      </c>
      <c r="R137" s="127">
        <f>Q137*H137</f>
        <v>0</v>
      </c>
      <c r="S137" s="127">
        <v>0</v>
      </c>
      <c r="T137" s="128">
        <f>S137*H137</f>
        <v>0</v>
      </c>
      <c r="AR137" s="129" t="s">
        <v>163</v>
      </c>
      <c r="AT137" s="129" t="s">
        <v>106</v>
      </c>
      <c r="AU137" s="129" t="s">
        <v>75</v>
      </c>
      <c r="AY137" s="13" t="s">
        <v>103</v>
      </c>
      <c r="BE137" s="130">
        <f>IF(N137="základní",J137,0)</f>
        <v>0</v>
      </c>
      <c r="BF137" s="130">
        <f>IF(N137="snížená",J137,0)</f>
        <v>0</v>
      </c>
      <c r="BG137" s="130">
        <f>IF(N137="zákl. přenesená",J137,0)</f>
        <v>0</v>
      </c>
      <c r="BH137" s="130">
        <f>IF(N137="sníž. přenesená",J137,0)</f>
        <v>0</v>
      </c>
      <c r="BI137" s="130">
        <f>IF(N137="nulová",J137,0)</f>
        <v>0</v>
      </c>
      <c r="BJ137" s="13" t="s">
        <v>73</v>
      </c>
      <c r="BK137" s="130">
        <f>ROUND(I137*H137,2)</f>
        <v>0</v>
      </c>
      <c r="BL137" s="13" t="s">
        <v>163</v>
      </c>
      <c r="BM137" s="129" t="s">
        <v>164</v>
      </c>
    </row>
    <row r="138" spans="2:65" s="11" customFormat="1" ht="22.9" customHeight="1" x14ac:dyDescent="0.2">
      <c r="B138" s="106"/>
      <c r="D138" s="107" t="s">
        <v>68</v>
      </c>
      <c r="E138" s="115" t="s">
        <v>165</v>
      </c>
      <c r="F138" s="115" t="s">
        <v>166</v>
      </c>
      <c r="J138" s="116">
        <f>BK138</f>
        <v>0</v>
      </c>
      <c r="L138" s="106"/>
      <c r="M138" s="110"/>
      <c r="P138" s="111">
        <f>P139</f>
        <v>0</v>
      </c>
      <c r="R138" s="111">
        <f>R139</f>
        <v>0</v>
      </c>
      <c r="T138" s="112">
        <f>T139</f>
        <v>0</v>
      </c>
      <c r="AR138" s="107" t="s">
        <v>120</v>
      </c>
      <c r="AT138" s="113" t="s">
        <v>68</v>
      </c>
      <c r="AU138" s="113" t="s">
        <v>73</v>
      </c>
      <c r="AY138" s="107" t="s">
        <v>103</v>
      </c>
      <c r="BK138" s="114">
        <f>BK139</f>
        <v>0</v>
      </c>
    </row>
    <row r="139" spans="2:65" s="1" customFormat="1" ht="16.5" customHeight="1" x14ac:dyDescent="0.2">
      <c r="B139" s="117"/>
      <c r="C139" s="118" t="s">
        <v>167</v>
      </c>
      <c r="D139" s="118" t="s">
        <v>106</v>
      </c>
      <c r="E139" s="119" t="s">
        <v>168</v>
      </c>
      <c r="F139" s="120" t="s">
        <v>166</v>
      </c>
      <c r="G139" s="121" t="s">
        <v>162</v>
      </c>
      <c r="H139" s="122">
        <v>1</v>
      </c>
      <c r="I139" s="123"/>
      <c r="J139" s="123">
        <f>ROUND(I139*H139,2)</f>
        <v>0</v>
      </c>
      <c r="K139" s="124"/>
      <c r="L139" s="25"/>
      <c r="M139" s="131" t="s">
        <v>1</v>
      </c>
      <c r="N139" s="132" t="s">
        <v>34</v>
      </c>
      <c r="O139" s="133">
        <v>0</v>
      </c>
      <c r="P139" s="133">
        <f>O139*H139</f>
        <v>0</v>
      </c>
      <c r="Q139" s="133">
        <v>0</v>
      </c>
      <c r="R139" s="133">
        <f>Q139*H139</f>
        <v>0</v>
      </c>
      <c r="S139" s="133">
        <v>0</v>
      </c>
      <c r="T139" s="134">
        <f>S139*H139</f>
        <v>0</v>
      </c>
      <c r="AR139" s="129" t="s">
        <v>163</v>
      </c>
      <c r="AT139" s="129" t="s">
        <v>106</v>
      </c>
      <c r="AU139" s="129" t="s">
        <v>75</v>
      </c>
      <c r="AY139" s="13" t="s">
        <v>103</v>
      </c>
      <c r="BE139" s="130">
        <f>IF(N139="základní",J139,0)</f>
        <v>0</v>
      </c>
      <c r="BF139" s="130">
        <f>IF(N139="snížená",J139,0)</f>
        <v>0</v>
      </c>
      <c r="BG139" s="130">
        <f>IF(N139="zákl. přenesená",J139,0)</f>
        <v>0</v>
      </c>
      <c r="BH139" s="130">
        <f>IF(N139="sníž. přenesená",J139,0)</f>
        <v>0</v>
      </c>
      <c r="BI139" s="130">
        <f>IF(N139="nulová",J139,0)</f>
        <v>0</v>
      </c>
      <c r="BJ139" s="13" t="s">
        <v>73</v>
      </c>
      <c r="BK139" s="130">
        <f>ROUND(I139*H139,2)</f>
        <v>0</v>
      </c>
      <c r="BL139" s="13" t="s">
        <v>163</v>
      </c>
      <c r="BM139" s="129" t="s">
        <v>169</v>
      </c>
    </row>
    <row r="140" spans="2:65" s="1" customFormat="1" ht="6.95" customHeight="1" x14ac:dyDescent="0.2">
      <c r="B140" s="37"/>
      <c r="C140" s="38"/>
      <c r="D140" s="38"/>
      <c r="E140" s="38"/>
      <c r="F140" s="38"/>
      <c r="G140" s="38"/>
      <c r="H140" s="38"/>
      <c r="I140" s="38"/>
      <c r="J140" s="38"/>
      <c r="K140" s="38"/>
      <c r="L140" s="25"/>
    </row>
  </sheetData>
  <autoFilter ref="C117:K139" xr:uid="{00000000-0009-0000-0000-000001000000}"/>
  <mergeCells count="6">
    <mergeCell ref="E110:H110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scale="88" fitToHeight="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49ACA-AD9F-4AB2-A7A9-86AF72669873}">
  <sheetPr>
    <pageSetUpPr fitToPage="1"/>
  </sheetPr>
  <dimension ref="A1:AU32"/>
  <sheetViews>
    <sheetView workbookViewId="0">
      <selection activeCell="AY23" sqref="AY23"/>
    </sheetView>
  </sheetViews>
  <sheetFormatPr defaultColWidth="13.5" defaultRowHeight="12.75" x14ac:dyDescent="0.2"/>
  <cols>
    <col min="1" max="1" width="4.33203125" style="139" customWidth="1"/>
    <col min="2" max="2" width="8" style="139" customWidth="1"/>
    <col min="3" max="3" width="15.5" style="139" customWidth="1"/>
    <col min="4" max="4" width="75.1640625" style="139" customWidth="1"/>
    <col min="5" max="5" width="5" style="139" customWidth="1"/>
    <col min="6" max="6" width="15" style="139" customWidth="1"/>
    <col min="7" max="7" width="14" style="139" customWidth="1"/>
    <col min="8" max="10" width="16.6640625" style="139" customWidth="1"/>
    <col min="11" max="12" width="13.6640625" style="139" customWidth="1"/>
    <col min="13" max="13" width="13.6640625" style="139" hidden="1" customWidth="1"/>
    <col min="14" max="14" width="0" style="139" hidden="1" customWidth="1"/>
    <col min="15" max="47" width="14.1640625" style="139" hidden="1" customWidth="1"/>
    <col min="48" max="256" width="13.5" style="139"/>
    <col min="257" max="257" width="4.33203125" style="139" customWidth="1"/>
    <col min="258" max="258" width="8" style="139" customWidth="1"/>
    <col min="259" max="259" width="15.5" style="139" customWidth="1"/>
    <col min="260" max="260" width="75.1640625" style="139" customWidth="1"/>
    <col min="261" max="261" width="5" style="139" customWidth="1"/>
    <col min="262" max="262" width="15" style="139" customWidth="1"/>
    <col min="263" max="263" width="14" style="139" customWidth="1"/>
    <col min="264" max="266" width="16.6640625" style="139" customWidth="1"/>
    <col min="267" max="269" width="13.6640625" style="139" customWidth="1"/>
    <col min="270" max="303" width="0" style="139" hidden="1" customWidth="1"/>
    <col min="304" max="512" width="13.5" style="139"/>
    <col min="513" max="513" width="4.33203125" style="139" customWidth="1"/>
    <col min="514" max="514" width="8" style="139" customWidth="1"/>
    <col min="515" max="515" width="15.5" style="139" customWidth="1"/>
    <col min="516" max="516" width="75.1640625" style="139" customWidth="1"/>
    <col min="517" max="517" width="5" style="139" customWidth="1"/>
    <col min="518" max="518" width="15" style="139" customWidth="1"/>
    <col min="519" max="519" width="14" style="139" customWidth="1"/>
    <col min="520" max="522" width="16.6640625" style="139" customWidth="1"/>
    <col min="523" max="525" width="13.6640625" style="139" customWidth="1"/>
    <col min="526" max="559" width="0" style="139" hidden="1" customWidth="1"/>
    <col min="560" max="768" width="13.5" style="139"/>
    <col min="769" max="769" width="4.33203125" style="139" customWidth="1"/>
    <col min="770" max="770" width="8" style="139" customWidth="1"/>
    <col min="771" max="771" width="15.5" style="139" customWidth="1"/>
    <col min="772" max="772" width="75.1640625" style="139" customWidth="1"/>
    <col min="773" max="773" width="5" style="139" customWidth="1"/>
    <col min="774" max="774" width="15" style="139" customWidth="1"/>
    <col min="775" max="775" width="14" style="139" customWidth="1"/>
    <col min="776" max="778" width="16.6640625" style="139" customWidth="1"/>
    <col min="779" max="781" width="13.6640625" style="139" customWidth="1"/>
    <col min="782" max="815" width="0" style="139" hidden="1" customWidth="1"/>
    <col min="816" max="1024" width="13.5" style="139"/>
    <col min="1025" max="1025" width="4.33203125" style="139" customWidth="1"/>
    <col min="1026" max="1026" width="8" style="139" customWidth="1"/>
    <col min="1027" max="1027" width="15.5" style="139" customWidth="1"/>
    <col min="1028" max="1028" width="75.1640625" style="139" customWidth="1"/>
    <col min="1029" max="1029" width="5" style="139" customWidth="1"/>
    <col min="1030" max="1030" width="15" style="139" customWidth="1"/>
    <col min="1031" max="1031" width="14" style="139" customWidth="1"/>
    <col min="1032" max="1034" width="16.6640625" style="139" customWidth="1"/>
    <col min="1035" max="1037" width="13.6640625" style="139" customWidth="1"/>
    <col min="1038" max="1071" width="0" style="139" hidden="1" customWidth="1"/>
    <col min="1072" max="1280" width="13.5" style="139"/>
    <col min="1281" max="1281" width="4.33203125" style="139" customWidth="1"/>
    <col min="1282" max="1282" width="8" style="139" customWidth="1"/>
    <col min="1283" max="1283" width="15.5" style="139" customWidth="1"/>
    <col min="1284" max="1284" width="75.1640625" style="139" customWidth="1"/>
    <col min="1285" max="1285" width="5" style="139" customWidth="1"/>
    <col min="1286" max="1286" width="15" style="139" customWidth="1"/>
    <col min="1287" max="1287" width="14" style="139" customWidth="1"/>
    <col min="1288" max="1290" width="16.6640625" style="139" customWidth="1"/>
    <col min="1291" max="1293" width="13.6640625" style="139" customWidth="1"/>
    <col min="1294" max="1327" width="0" style="139" hidden="1" customWidth="1"/>
    <col min="1328" max="1536" width="13.5" style="139"/>
    <col min="1537" max="1537" width="4.33203125" style="139" customWidth="1"/>
    <col min="1538" max="1538" width="8" style="139" customWidth="1"/>
    <col min="1539" max="1539" width="15.5" style="139" customWidth="1"/>
    <col min="1540" max="1540" width="75.1640625" style="139" customWidth="1"/>
    <col min="1541" max="1541" width="5" style="139" customWidth="1"/>
    <col min="1542" max="1542" width="15" style="139" customWidth="1"/>
    <col min="1543" max="1543" width="14" style="139" customWidth="1"/>
    <col min="1544" max="1546" width="16.6640625" style="139" customWidth="1"/>
    <col min="1547" max="1549" width="13.6640625" style="139" customWidth="1"/>
    <col min="1550" max="1583" width="0" style="139" hidden="1" customWidth="1"/>
    <col min="1584" max="1792" width="13.5" style="139"/>
    <col min="1793" max="1793" width="4.33203125" style="139" customWidth="1"/>
    <col min="1794" max="1794" width="8" style="139" customWidth="1"/>
    <col min="1795" max="1795" width="15.5" style="139" customWidth="1"/>
    <col min="1796" max="1796" width="75.1640625" style="139" customWidth="1"/>
    <col min="1797" max="1797" width="5" style="139" customWidth="1"/>
    <col min="1798" max="1798" width="15" style="139" customWidth="1"/>
    <col min="1799" max="1799" width="14" style="139" customWidth="1"/>
    <col min="1800" max="1802" width="16.6640625" style="139" customWidth="1"/>
    <col min="1803" max="1805" width="13.6640625" style="139" customWidth="1"/>
    <col min="1806" max="1839" width="0" style="139" hidden="1" customWidth="1"/>
    <col min="1840" max="2048" width="13.5" style="139"/>
    <col min="2049" max="2049" width="4.33203125" style="139" customWidth="1"/>
    <col min="2050" max="2050" width="8" style="139" customWidth="1"/>
    <col min="2051" max="2051" width="15.5" style="139" customWidth="1"/>
    <col min="2052" max="2052" width="75.1640625" style="139" customWidth="1"/>
    <col min="2053" max="2053" width="5" style="139" customWidth="1"/>
    <col min="2054" max="2054" width="15" style="139" customWidth="1"/>
    <col min="2055" max="2055" width="14" style="139" customWidth="1"/>
    <col min="2056" max="2058" width="16.6640625" style="139" customWidth="1"/>
    <col min="2059" max="2061" width="13.6640625" style="139" customWidth="1"/>
    <col min="2062" max="2095" width="0" style="139" hidden="1" customWidth="1"/>
    <col min="2096" max="2304" width="13.5" style="139"/>
    <col min="2305" max="2305" width="4.33203125" style="139" customWidth="1"/>
    <col min="2306" max="2306" width="8" style="139" customWidth="1"/>
    <col min="2307" max="2307" width="15.5" style="139" customWidth="1"/>
    <col min="2308" max="2308" width="75.1640625" style="139" customWidth="1"/>
    <col min="2309" max="2309" width="5" style="139" customWidth="1"/>
    <col min="2310" max="2310" width="15" style="139" customWidth="1"/>
    <col min="2311" max="2311" width="14" style="139" customWidth="1"/>
    <col min="2312" max="2314" width="16.6640625" style="139" customWidth="1"/>
    <col min="2315" max="2317" width="13.6640625" style="139" customWidth="1"/>
    <col min="2318" max="2351" width="0" style="139" hidden="1" customWidth="1"/>
    <col min="2352" max="2560" width="13.5" style="139"/>
    <col min="2561" max="2561" width="4.33203125" style="139" customWidth="1"/>
    <col min="2562" max="2562" width="8" style="139" customWidth="1"/>
    <col min="2563" max="2563" width="15.5" style="139" customWidth="1"/>
    <col min="2564" max="2564" width="75.1640625" style="139" customWidth="1"/>
    <col min="2565" max="2565" width="5" style="139" customWidth="1"/>
    <col min="2566" max="2566" width="15" style="139" customWidth="1"/>
    <col min="2567" max="2567" width="14" style="139" customWidth="1"/>
    <col min="2568" max="2570" width="16.6640625" style="139" customWidth="1"/>
    <col min="2571" max="2573" width="13.6640625" style="139" customWidth="1"/>
    <col min="2574" max="2607" width="0" style="139" hidden="1" customWidth="1"/>
    <col min="2608" max="2816" width="13.5" style="139"/>
    <col min="2817" max="2817" width="4.33203125" style="139" customWidth="1"/>
    <col min="2818" max="2818" width="8" style="139" customWidth="1"/>
    <col min="2819" max="2819" width="15.5" style="139" customWidth="1"/>
    <col min="2820" max="2820" width="75.1640625" style="139" customWidth="1"/>
    <col min="2821" max="2821" width="5" style="139" customWidth="1"/>
    <col min="2822" max="2822" width="15" style="139" customWidth="1"/>
    <col min="2823" max="2823" width="14" style="139" customWidth="1"/>
    <col min="2824" max="2826" width="16.6640625" style="139" customWidth="1"/>
    <col min="2827" max="2829" width="13.6640625" style="139" customWidth="1"/>
    <col min="2830" max="2863" width="0" style="139" hidden="1" customWidth="1"/>
    <col min="2864" max="3072" width="13.5" style="139"/>
    <col min="3073" max="3073" width="4.33203125" style="139" customWidth="1"/>
    <col min="3074" max="3074" width="8" style="139" customWidth="1"/>
    <col min="3075" max="3075" width="15.5" style="139" customWidth="1"/>
    <col min="3076" max="3076" width="75.1640625" style="139" customWidth="1"/>
    <col min="3077" max="3077" width="5" style="139" customWidth="1"/>
    <col min="3078" max="3078" width="15" style="139" customWidth="1"/>
    <col min="3079" max="3079" width="14" style="139" customWidth="1"/>
    <col min="3080" max="3082" width="16.6640625" style="139" customWidth="1"/>
    <col min="3083" max="3085" width="13.6640625" style="139" customWidth="1"/>
    <col min="3086" max="3119" width="0" style="139" hidden="1" customWidth="1"/>
    <col min="3120" max="3328" width="13.5" style="139"/>
    <col min="3329" max="3329" width="4.33203125" style="139" customWidth="1"/>
    <col min="3330" max="3330" width="8" style="139" customWidth="1"/>
    <col min="3331" max="3331" width="15.5" style="139" customWidth="1"/>
    <col min="3332" max="3332" width="75.1640625" style="139" customWidth="1"/>
    <col min="3333" max="3333" width="5" style="139" customWidth="1"/>
    <col min="3334" max="3334" width="15" style="139" customWidth="1"/>
    <col min="3335" max="3335" width="14" style="139" customWidth="1"/>
    <col min="3336" max="3338" width="16.6640625" style="139" customWidth="1"/>
    <col min="3339" max="3341" width="13.6640625" style="139" customWidth="1"/>
    <col min="3342" max="3375" width="0" style="139" hidden="1" customWidth="1"/>
    <col min="3376" max="3584" width="13.5" style="139"/>
    <col min="3585" max="3585" width="4.33203125" style="139" customWidth="1"/>
    <col min="3586" max="3586" width="8" style="139" customWidth="1"/>
    <col min="3587" max="3587" width="15.5" style="139" customWidth="1"/>
    <col min="3588" max="3588" width="75.1640625" style="139" customWidth="1"/>
    <col min="3589" max="3589" width="5" style="139" customWidth="1"/>
    <col min="3590" max="3590" width="15" style="139" customWidth="1"/>
    <col min="3591" max="3591" width="14" style="139" customWidth="1"/>
    <col min="3592" max="3594" width="16.6640625" style="139" customWidth="1"/>
    <col min="3595" max="3597" width="13.6640625" style="139" customWidth="1"/>
    <col min="3598" max="3631" width="0" style="139" hidden="1" customWidth="1"/>
    <col min="3632" max="3840" width="13.5" style="139"/>
    <col min="3841" max="3841" width="4.33203125" style="139" customWidth="1"/>
    <col min="3842" max="3842" width="8" style="139" customWidth="1"/>
    <col min="3843" max="3843" width="15.5" style="139" customWidth="1"/>
    <col min="3844" max="3844" width="75.1640625" style="139" customWidth="1"/>
    <col min="3845" max="3845" width="5" style="139" customWidth="1"/>
    <col min="3846" max="3846" width="15" style="139" customWidth="1"/>
    <col min="3847" max="3847" width="14" style="139" customWidth="1"/>
    <col min="3848" max="3850" width="16.6640625" style="139" customWidth="1"/>
    <col min="3851" max="3853" width="13.6640625" style="139" customWidth="1"/>
    <col min="3854" max="3887" width="0" style="139" hidden="1" customWidth="1"/>
    <col min="3888" max="4096" width="13.5" style="139"/>
    <col min="4097" max="4097" width="4.33203125" style="139" customWidth="1"/>
    <col min="4098" max="4098" width="8" style="139" customWidth="1"/>
    <col min="4099" max="4099" width="15.5" style="139" customWidth="1"/>
    <col min="4100" max="4100" width="75.1640625" style="139" customWidth="1"/>
    <col min="4101" max="4101" width="5" style="139" customWidth="1"/>
    <col min="4102" max="4102" width="15" style="139" customWidth="1"/>
    <col min="4103" max="4103" width="14" style="139" customWidth="1"/>
    <col min="4104" max="4106" width="16.6640625" style="139" customWidth="1"/>
    <col min="4107" max="4109" width="13.6640625" style="139" customWidth="1"/>
    <col min="4110" max="4143" width="0" style="139" hidden="1" customWidth="1"/>
    <col min="4144" max="4352" width="13.5" style="139"/>
    <col min="4353" max="4353" width="4.33203125" style="139" customWidth="1"/>
    <col min="4354" max="4354" width="8" style="139" customWidth="1"/>
    <col min="4355" max="4355" width="15.5" style="139" customWidth="1"/>
    <col min="4356" max="4356" width="75.1640625" style="139" customWidth="1"/>
    <col min="4357" max="4357" width="5" style="139" customWidth="1"/>
    <col min="4358" max="4358" width="15" style="139" customWidth="1"/>
    <col min="4359" max="4359" width="14" style="139" customWidth="1"/>
    <col min="4360" max="4362" width="16.6640625" style="139" customWidth="1"/>
    <col min="4363" max="4365" width="13.6640625" style="139" customWidth="1"/>
    <col min="4366" max="4399" width="0" style="139" hidden="1" customWidth="1"/>
    <col min="4400" max="4608" width="13.5" style="139"/>
    <col min="4609" max="4609" width="4.33203125" style="139" customWidth="1"/>
    <col min="4610" max="4610" width="8" style="139" customWidth="1"/>
    <col min="4611" max="4611" width="15.5" style="139" customWidth="1"/>
    <col min="4612" max="4612" width="75.1640625" style="139" customWidth="1"/>
    <col min="4613" max="4613" width="5" style="139" customWidth="1"/>
    <col min="4614" max="4614" width="15" style="139" customWidth="1"/>
    <col min="4615" max="4615" width="14" style="139" customWidth="1"/>
    <col min="4616" max="4618" width="16.6640625" style="139" customWidth="1"/>
    <col min="4619" max="4621" width="13.6640625" style="139" customWidth="1"/>
    <col min="4622" max="4655" width="0" style="139" hidden="1" customWidth="1"/>
    <col min="4656" max="4864" width="13.5" style="139"/>
    <col min="4865" max="4865" width="4.33203125" style="139" customWidth="1"/>
    <col min="4866" max="4866" width="8" style="139" customWidth="1"/>
    <col min="4867" max="4867" width="15.5" style="139" customWidth="1"/>
    <col min="4868" max="4868" width="75.1640625" style="139" customWidth="1"/>
    <col min="4869" max="4869" width="5" style="139" customWidth="1"/>
    <col min="4870" max="4870" width="15" style="139" customWidth="1"/>
    <col min="4871" max="4871" width="14" style="139" customWidth="1"/>
    <col min="4872" max="4874" width="16.6640625" style="139" customWidth="1"/>
    <col min="4875" max="4877" width="13.6640625" style="139" customWidth="1"/>
    <col min="4878" max="4911" width="0" style="139" hidden="1" customWidth="1"/>
    <col min="4912" max="5120" width="13.5" style="139"/>
    <col min="5121" max="5121" width="4.33203125" style="139" customWidth="1"/>
    <col min="5122" max="5122" width="8" style="139" customWidth="1"/>
    <col min="5123" max="5123" width="15.5" style="139" customWidth="1"/>
    <col min="5124" max="5124" width="75.1640625" style="139" customWidth="1"/>
    <col min="5125" max="5125" width="5" style="139" customWidth="1"/>
    <col min="5126" max="5126" width="15" style="139" customWidth="1"/>
    <col min="5127" max="5127" width="14" style="139" customWidth="1"/>
    <col min="5128" max="5130" width="16.6640625" style="139" customWidth="1"/>
    <col min="5131" max="5133" width="13.6640625" style="139" customWidth="1"/>
    <col min="5134" max="5167" width="0" style="139" hidden="1" customWidth="1"/>
    <col min="5168" max="5376" width="13.5" style="139"/>
    <col min="5377" max="5377" width="4.33203125" style="139" customWidth="1"/>
    <col min="5378" max="5378" width="8" style="139" customWidth="1"/>
    <col min="5379" max="5379" width="15.5" style="139" customWidth="1"/>
    <col min="5380" max="5380" width="75.1640625" style="139" customWidth="1"/>
    <col min="5381" max="5381" width="5" style="139" customWidth="1"/>
    <col min="5382" max="5382" width="15" style="139" customWidth="1"/>
    <col min="5383" max="5383" width="14" style="139" customWidth="1"/>
    <col min="5384" max="5386" width="16.6640625" style="139" customWidth="1"/>
    <col min="5387" max="5389" width="13.6640625" style="139" customWidth="1"/>
    <col min="5390" max="5423" width="0" style="139" hidden="1" customWidth="1"/>
    <col min="5424" max="5632" width="13.5" style="139"/>
    <col min="5633" max="5633" width="4.33203125" style="139" customWidth="1"/>
    <col min="5634" max="5634" width="8" style="139" customWidth="1"/>
    <col min="5635" max="5635" width="15.5" style="139" customWidth="1"/>
    <col min="5636" max="5636" width="75.1640625" style="139" customWidth="1"/>
    <col min="5637" max="5637" width="5" style="139" customWidth="1"/>
    <col min="5638" max="5638" width="15" style="139" customWidth="1"/>
    <col min="5639" max="5639" width="14" style="139" customWidth="1"/>
    <col min="5640" max="5642" width="16.6640625" style="139" customWidth="1"/>
    <col min="5643" max="5645" width="13.6640625" style="139" customWidth="1"/>
    <col min="5646" max="5679" width="0" style="139" hidden="1" customWidth="1"/>
    <col min="5680" max="5888" width="13.5" style="139"/>
    <col min="5889" max="5889" width="4.33203125" style="139" customWidth="1"/>
    <col min="5890" max="5890" width="8" style="139" customWidth="1"/>
    <col min="5891" max="5891" width="15.5" style="139" customWidth="1"/>
    <col min="5892" max="5892" width="75.1640625" style="139" customWidth="1"/>
    <col min="5893" max="5893" width="5" style="139" customWidth="1"/>
    <col min="5894" max="5894" width="15" style="139" customWidth="1"/>
    <col min="5895" max="5895" width="14" style="139" customWidth="1"/>
    <col min="5896" max="5898" width="16.6640625" style="139" customWidth="1"/>
    <col min="5899" max="5901" width="13.6640625" style="139" customWidth="1"/>
    <col min="5902" max="5935" width="0" style="139" hidden="1" customWidth="1"/>
    <col min="5936" max="6144" width="13.5" style="139"/>
    <col min="6145" max="6145" width="4.33203125" style="139" customWidth="1"/>
    <col min="6146" max="6146" width="8" style="139" customWidth="1"/>
    <col min="6147" max="6147" width="15.5" style="139" customWidth="1"/>
    <col min="6148" max="6148" width="75.1640625" style="139" customWidth="1"/>
    <col min="6149" max="6149" width="5" style="139" customWidth="1"/>
    <col min="6150" max="6150" width="15" style="139" customWidth="1"/>
    <col min="6151" max="6151" width="14" style="139" customWidth="1"/>
    <col min="6152" max="6154" width="16.6640625" style="139" customWidth="1"/>
    <col min="6155" max="6157" width="13.6640625" style="139" customWidth="1"/>
    <col min="6158" max="6191" width="0" style="139" hidden="1" customWidth="1"/>
    <col min="6192" max="6400" width="13.5" style="139"/>
    <col min="6401" max="6401" width="4.33203125" style="139" customWidth="1"/>
    <col min="6402" max="6402" width="8" style="139" customWidth="1"/>
    <col min="6403" max="6403" width="15.5" style="139" customWidth="1"/>
    <col min="6404" max="6404" width="75.1640625" style="139" customWidth="1"/>
    <col min="6405" max="6405" width="5" style="139" customWidth="1"/>
    <col min="6406" max="6406" width="15" style="139" customWidth="1"/>
    <col min="6407" max="6407" width="14" style="139" customWidth="1"/>
    <col min="6408" max="6410" width="16.6640625" style="139" customWidth="1"/>
    <col min="6411" max="6413" width="13.6640625" style="139" customWidth="1"/>
    <col min="6414" max="6447" width="0" style="139" hidden="1" customWidth="1"/>
    <col min="6448" max="6656" width="13.5" style="139"/>
    <col min="6657" max="6657" width="4.33203125" style="139" customWidth="1"/>
    <col min="6658" max="6658" width="8" style="139" customWidth="1"/>
    <col min="6659" max="6659" width="15.5" style="139" customWidth="1"/>
    <col min="6660" max="6660" width="75.1640625" style="139" customWidth="1"/>
    <col min="6661" max="6661" width="5" style="139" customWidth="1"/>
    <col min="6662" max="6662" width="15" style="139" customWidth="1"/>
    <col min="6663" max="6663" width="14" style="139" customWidth="1"/>
    <col min="6664" max="6666" width="16.6640625" style="139" customWidth="1"/>
    <col min="6667" max="6669" width="13.6640625" style="139" customWidth="1"/>
    <col min="6670" max="6703" width="0" style="139" hidden="1" customWidth="1"/>
    <col min="6704" max="6912" width="13.5" style="139"/>
    <col min="6913" max="6913" width="4.33203125" style="139" customWidth="1"/>
    <col min="6914" max="6914" width="8" style="139" customWidth="1"/>
    <col min="6915" max="6915" width="15.5" style="139" customWidth="1"/>
    <col min="6916" max="6916" width="75.1640625" style="139" customWidth="1"/>
    <col min="6917" max="6917" width="5" style="139" customWidth="1"/>
    <col min="6918" max="6918" width="15" style="139" customWidth="1"/>
    <col min="6919" max="6919" width="14" style="139" customWidth="1"/>
    <col min="6920" max="6922" width="16.6640625" style="139" customWidth="1"/>
    <col min="6923" max="6925" width="13.6640625" style="139" customWidth="1"/>
    <col min="6926" max="6959" width="0" style="139" hidden="1" customWidth="1"/>
    <col min="6960" max="7168" width="13.5" style="139"/>
    <col min="7169" max="7169" width="4.33203125" style="139" customWidth="1"/>
    <col min="7170" max="7170" width="8" style="139" customWidth="1"/>
    <col min="7171" max="7171" width="15.5" style="139" customWidth="1"/>
    <col min="7172" max="7172" width="75.1640625" style="139" customWidth="1"/>
    <col min="7173" max="7173" width="5" style="139" customWidth="1"/>
    <col min="7174" max="7174" width="15" style="139" customWidth="1"/>
    <col min="7175" max="7175" width="14" style="139" customWidth="1"/>
    <col min="7176" max="7178" width="16.6640625" style="139" customWidth="1"/>
    <col min="7179" max="7181" width="13.6640625" style="139" customWidth="1"/>
    <col min="7182" max="7215" width="0" style="139" hidden="1" customWidth="1"/>
    <col min="7216" max="7424" width="13.5" style="139"/>
    <col min="7425" max="7425" width="4.33203125" style="139" customWidth="1"/>
    <col min="7426" max="7426" width="8" style="139" customWidth="1"/>
    <col min="7427" max="7427" width="15.5" style="139" customWidth="1"/>
    <col min="7428" max="7428" width="75.1640625" style="139" customWidth="1"/>
    <col min="7429" max="7429" width="5" style="139" customWidth="1"/>
    <col min="7430" max="7430" width="15" style="139" customWidth="1"/>
    <col min="7431" max="7431" width="14" style="139" customWidth="1"/>
    <col min="7432" max="7434" width="16.6640625" style="139" customWidth="1"/>
    <col min="7435" max="7437" width="13.6640625" style="139" customWidth="1"/>
    <col min="7438" max="7471" width="0" style="139" hidden="1" customWidth="1"/>
    <col min="7472" max="7680" width="13.5" style="139"/>
    <col min="7681" max="7681" width="4.33203125" style="139" customWidth="1"/>
    <col min="7682" max="7682" width="8" style="139" customWidth="1"/>
    <col min="7683" max="7683" width="15.5" style="139" customWidth="1"/>
    <col min="7684" max="7684" width="75.1640625" style="139" customWidth="1"/>
    <col min="7685" max="7685" width="5" style="139" customWidth="1"/>
    <col min="7686" max="7686" width="15" style="139" customWidth="1"/>
    <col min="7687" max="7687" width="14" style="139" customWidth="1"/>
    <col min="7688" max="7690" width="16.6640625" style="139" customWidth="1"/>
    <col min="7691" max="7693" width="13.6640625" style="139" customWidth="1"/>
    <col min="7694" max="7727" width="0" style="139" hidden="1" customWidth="1"/>
    <col min="7728" max="7936" width="13.5" style="139"/>
    <col min="7937" max="7937" width="4.33203125" style="139" customWidth="1"/>
    <col min="7938" max="7938" width="8" style="139" customWidth="1"/>
    <col min="7939" max="7939" width="15.5" style="139" customWidth="1"/>
    <col min="7940" max="7940" width="75.1640625" style="139" customWidth="1"/>
    <col min="7941" max="7941" width="5" style="139" customWidth="1"/>
    <col min="7942" max="7942" width="15" style="139" customWidth="1"/>
    <col min="7943" max="7943" width="14" style="139" customWidth="1"/>
    <col min="7944" max="7946" width="16.6640625" style="139" customWidth="1"/>
    <col min="7947" max="7949" width="13.6640625" style="139" customWidth="1"/>
    <col min="7950" max="7983" width="0" style="139" hidden="1" customWidth="1"/>
    <col min="7984" max="8192" width="13.5" style="139"/>
    <col min="8193" max="8193" width="4.33203125" style="139" customWidth="1"/>
    <col min="8194" max="8194" width="8" style="139" customWidth="1"/>
    <col min="8195" max="8195" width="15.5" style="139" customWidth="1"/>
    <col min="8196" max="8196" width="75.1640625" style="139" customWidth="1"/>
    <col min="8197" max="8197" width="5" style="139" customWidth="1"/>
    <col min="8198" max="8198" width="15" style="139" customWidth="1"/>
    <col min="8199" max="8199" width="14" style="139" customWidth="1"/>
    <col min="8200" max="8202" width="16.6640625" style="139" customWidth="1"/>
    <col min="8203" max="8205" width="13.6640625" style="139" customWidth="1"/>
    <col min="8206" max="8239" width="0" style="139" hidden="1" customWidth="1"/>
    <col min="8240" max="8448" width="13.5" style="139"/>
    <col min="8449" max="8449" width="4.33203125" style="139" customWidth="1"/>
    <col min="8450" max="8450" width="8" style="139" customWidth="1"/>
    <col min="8451" max="8451" width="15.5" style="139" customWidth="1"/>
    <col min="8452" max="8452" width="75.1640625" style="139" customWidth="1"/>
    <col min="8453" max="8453" width="5" style="139" customWidth="1"/>
    <col min="8454" max="8454" width="15" style="139" customWidth="1"/>
    <col min="8455" max="8455" width="14" style="139" customWidth="1"/>
    <col min="8456" max="8458" width="16.6640625" style="139" customWidth="1"/>
    <col min="8459" max="8461" width="13.6640625" style="139" customWidth="1"/>
    <col min="8462" max="8495" width="0" style="139" hidden="1" customWidth="1"/>
    <col min="8496" max="8704" width="13.5" style="139"/>
    <col min="8705" max="8705" width="4.33203125" style="139" customWidth="1"/>
    <col min="8706" max="8706" width="8" style="139" customWidth="1"/>
    <col min="8707" max="8707" width="15.5" style="139" customWidth="1"/>
    <col min="8708" max="8708" width="75.1640625" style="139" customWidth="1"/>
    <col min="8709" max="8709" width="5" style="139" customWidth="1"/>
    <col min="8710" max="8710" width="15" style="139" customWidth="1"/>
    <col min="8711" max="8711" width="14" style="139" customWidth="1"/>
    <col min="8712" max="8714" width="16.6640625" style="139" customWidth="1"/>
    <col min="8715" max="8717" width="13.6640625" style="139" customWidth="1"/>
    <col min="8718" max="8751" width="0" style="139" hidden="1" customWidth="1"/>
    <col min="8752" max="8960" width="13.5" style="139"/>
    <col min="8961" max="8961" width="4.33203125" style="139" customWidth="1"/>
    <col min="8962" max="8962" width="8" style="139" customWidth="1"/>
    <col min="8963" max="8963" width="15.5" style="139" customWidth="1"/>
    <col min="8964" max="8964" width="75.1640625" style="139" customWidth="1"/>
    <col min="8965" max="8965" width="5" style="139" customWidth="1"/>
    <col min="8966" max="8966" width="15" style="139" customWidth="1"/>
    <col min="8967" max="8967" width="14" style="139" customWidth="1"/>
    <col min="8968" max="8970" width="16.6640625" style="139" customWidth="1"/>
    <col min="8971" max="8973" width="13.6640625" style="139" customWidth="1"/>
    <col min="8974" max="9007" width="0" style="139" hidden="1" customWidth="1"/>
    <col min="9008" max="9216" width="13.5" style="139"/>
    <col min="9217" max="9217" width="4.33203125" style="139" customWidth="1"/>
    <col min="9218" max="9218" width="8" style="139" customWidth="1"/>
    <col min="9219" max="9219" width="15.5" style="139" customWidth="1"/>
    <col min="9220" max="9220" width="75.1640625" style="139" customWidth="1"/>
    <col min="9221" max="9221" width="5" style="139" customWidth="1"/>
    <col min="9222" max="9222" width="15" style="139" customWidth="1"/>
    <col min="9223" max="9223" width="14" style="139" customWidth="1"/>
    <col min="9224" max="9226" width="16.6640625" style="139" customWidth="1"/>
    <col min="9227" max="9229" width="13.6640625" style="139" customWidth="1"/>
    <col min="9230" max="9263" width="0" style="139" hidden="1" customWidth="1"/>
    <col min="9264" max="9472" width="13.5" style="139"/>
    <col min="9473" max="9473" width="4.33203125" style="139" customWidth="1"/>
    <col min="9474" max="9474" width="8" style="139" customWidth="1"/>
    <col min="9475" max="9475" width="15.5" style="139" customWidth="1"/>
    <col min="9476" max="9476" width="75.1640625" style="139" customWidth="1"/>
    <col min="9477" max="9477" width="5" style="139" customWidth="1"/>
    <col min="9478" max="9478" width="15" style="139" customWidth="1"/>
    <col min="9479" max="9479" width="14" style="139" customWidth="1"/>
    <col min="9480" max="9482" width="16.6640625" style="139" customWidth="1"/>
    <col min="9483" max="9485" width="13.6640625" style="139" customWidth="1"/>
    <col min="9486" max="9519" width="0" style="139" hidden="1" customWidth="1"/>
    <col min="9520" max="9728" width="13.5" style="139"/>
    <col min="9729" max="9729" width="4.33203125" style="139" customWidth="1"/>
    <col min="9730" max="9730" width="8" style="139" customWidth="1"/>
    <col min="9731" max="9731" width="15.5" style="139" customWidth="1"/>
    <col min="9732" max="9732" width="75.1640625" style="139" customWidth="1"/>
    <col min="9733" max="9733" width="5" style="139" customWidth="1"/>
    <col min="9734" max="9734" width="15" style="139" customWidth="1"/>
    <col min="9735" max="9735" width="14" style="139" customWidth="1"/>
    <col min="9736" max="9738" width="16.6640625" style="139" customWidth="1"/>
    <col min="9739" max="9741" width="13.6640625" style="139" customWidth="1"/>
    <col min="9742" max="9775" width="0" style="139" hidden="1" customWidth="1"/>
    <col min="9776" max="9984" width="13.5" style="139"/>
    <col min="9985" max="9985" width="4.33203125" style="139" customWidth="1"/>
    <col min="9986" max="9986" width="8" style="139" customWidth="1"/>
    <col min="9987" max="9987" width="15.5" style="139" customWidth="1"/>
    <col min="9988" max="9988" width="75.1640625" style="139" customWidth="1"/>
    <col min="9989" max="9989" width="5" style="139" customWidth="1"/>
    <col min="9990" max="9990" width="15" style="139" customWidth="1"/>
    <col min="9991" max="9991" width="14" style="139" customWidth="1"/>
    <col min="9992" max="9994" width="16.6640625" style="139" customWidth="1"/>
    <col min="9995" max="9997" width="13.6640625" style="139" customWidth="1"/>
    <col min="9998" max="10031" width="0" style="139" hidden="1" customWidth="1"/>
    <col min="10032" max="10240" width="13.5" style="139"/>
    <col min="10241" max="10241" width="4.33203125" style="139" customWidth="1"/>
    <col min="10242" max="10242" width="8" style="139" customWidth="1"/>
    <col min="10243" max="10243" width="15.5" style="139" customWidth="1"/>
    <col min="10244" max="10244" width="75.1640625" style="139" customWidth="1"/>
    <col min="10245" max="10245" width="5" style="139" customWidth="1"/>
    <col min="10246" max="10246" width="15" style="139" customWidth="1"/>
    <col min="10247" max="10247" width="14" style="139" customWidth="1"/>
    <col min="10248" max="10250" width="16.6640625" style="139" customWidth="1"/>
    <col min="10251" max="10253" width="13.6640625" style="139" customWidth="1"/>
    <col min="10254" max="10287" width="0" style="139" hidden="1" customWidth="1"/>
    <col min="10288" max="10496" width="13.5" style="139"/>
    <col min="10497" max="10497" width="4.33203125" style="139" customWidth="1"/>
    <col min="10498" max="10498" width="8" style="139" customWidth="1"/>
    <col min="10499" max="10499" width="15.5" style="139" customWidth="1"/>
    <col min="10500" max="10500" width="75.1640625" style="139" customWidth="1"/>
    <col min="10501" max="10501" width="5" style="139" customWidth="1"/>
    <col min="10502" max="10502" width="15" style="139" customWidth="1"/>
    <col min="10503" max="10503" width="14" style="139" customWidth="1"/>
    <col min="10504" max="10506" width="16.6640625" style="139" customWidth="1"/>
    <col min="10507" max="10509" width="13.6640625" style="139" customWidth="1"/>
    <col min="10510" max="10543" width="0" style="139" hidden="1" customWidth="1"/>
    <col min="10544" max="10752" width="13.5" style="139"/>
    <col min="10753" max="10753" width="4.33203125" style="139" customWidth="1"/>
    <col min="10754" max="10754" width="8" style="139" customWidth="1"/>
    <col min="10755" max="10755" width="15.5" style="139" customWidth="1"/>
    <col min="10756" max="10756" width="75.1640625" style="139" customWidth="1"/>
    <col min="10757" max="10757" width="5" style="139" customWidth="1"/>
    <col min="10758" max="10758" width="15" style="139" customWidth="1"/>
    <col min="10759" max="10759" width="14" style="139" customWidth="1"/>
    <col min="10760" max="10762" width="16.6640625" style="139" customWidth="1"/>
    <col min="10763" max="10765" width="13.6640625" style="139" customWidth="1"/>
    <col min="10766" max="10799" width="0" style="139" hidden="1" customWidth="1"/>
    <col min="10800" max="11008" width="13.5" style="139"/>
    <col min="11009" max="11009" width="4.33203125" style="139" customWidth="1"/>
    <col min="11010" max="11010" width="8" style="139" customWidth="1"/>
    <col min="11011" max="11011" width="15.5" style="139" customWidth="1"/>
    <col min="11012" max="11012" width="75.1640625" style="139" customWidth="1"/>
    <col min="11013" max="11013" width="5" style="139" customWidth="1"/>
    <col min="11014" max="11014" width="15" style="139" customWidth="1"/>
    <col min="11015" max="11015" width="14" style="139" customWidth="1"/>
    <col min="11016" max="11018" width="16.6640625" style="139" customWidth="1"/>
    <col min="11019" max="11021" width="13.6640625" style="139" customWidth="1"/>
    <col min="11022" max="11055" width="0" style="139" hidden="1" customWidth="1"/>
    <col min="11056" max="11264" width="13.5" style="139"/>
    <col min="11265" max="11265" width="4.33203125" style="139" customWidth="1"/>
    <col min="11266" max="11266" width="8" style="139" customWidth="1"/>
    <col min="11267" max="11267" width="15.5" style="139" customWidth="1"/>
    <col min="11268" max="11268" width="75.1640625" style="139" customWidth="1"/>
    <col min="11269" max="11269" width="5" style="139" customWidth="1"/>
    <col min="11270" max="11270" width="15" style="139" customWidth="1"/>
    <col min="11271" max="11271" width="14" style="139" customWidth="1"/>
    <col min="11272" max="11274" width="16.6640625" style="139" customWidth="1"/>
    <col min="11275" max="11277" width="13.6640625" style="139" customWidth="1"/>
    <col min="11278" max="11311" width="0" style="139" hidden="1" customWidth="1"/>
    <col min="11312" max="11520" width="13.5" style="139"/>
    <col min="11521" max="11521" width="4.33203125" style="139" customWidth="1"/>
    <col min="11522" max="11522" width="8" style="139" customWidth="1"/>
    <col min="11523" max="11523" width="15.5" style="139" customWidth="1"/>
    <col min="11524" max="11524" width="75.1640625" style="139" customWidth="1"/>
    <col min="11525" max="11525" width="5" style="139" customWidth="1"/>
    <col min="11526" max="11526" width="15" style="139" customWidth="1"/>
    <col min="11527" max="11527" width="14" style="139" customWidth="1"/>
    <col min="11528" max="11530" width="16.6640625" style="139" customWidth="1"/>
    <col min="11531" max="11533" width="13.6640625" style="139" customWidth="1"/>
    <col min="11534" max="11567" width="0" style="139" hidden="1" customWidth="1"/>
    <col min="11568" max="11776" width="13.5" style="139"/>
    <col min="11777" max="11777" width="4.33203125" style="139" customWidth="1"/>
    <col min="11778" max="11778" width="8" style="139" customWidth="1"/>
    <col min="11779" max="11779" width="15.5" style="139" customWidth="1"/>
    <col min="11780" max="11780" width="75.1640625" style="139" customWidth="1"/>
    <col min="11781" max="11781" width="5" style="139" customWidth="1"/>
    <col min="11782" max="11782" width="15" style="139" customWidth="1"/>
    <col min="11783" max="11783" width="14" style="139" customWidth="1"/>
    <col min="11784" max="11786" width="16.6640625" style="139" customWidth="1"/>
    <col min="11787" max="11789" width="13.6640625" style="139" customWidth="1"/>
    <col min="11790" max="11823" width="0" style="139" hidden="1" customWidth="1"/>
    <col min="11824" max="12032" width="13.5" style="139"/>
    <col min="12033" max="12033" width="4.33203125" style="139" customWidth="1"/>
    <col min="12034" max="12034" width="8" style="139" customWidth="1"/>
    <col min="12035" max="12035" width="15.5" style="139" customWidth="1"/>
    <col min="12036" max="12036" width="75.1640625" style="139" customWidth="1"/>
    <col min="12037" max="12037" width="5" style="139" customWidth="1"/>
    <col min="12038" max="12038" width="15" style="139" customWidth="1"/>
    <col min="12039" max="12039" width="14" style="139" customWidth="1"/>
    <col min="12040" max="12042" width="16.6640625" style="139" customWidth="1"/>
    <col min="12043" max="12045" width="13.6640625" style="139" customWidth="1"/>
    <col min="12046" max="12079" width="0" style="139" hidden="1" customWidth="1"/>
    <col min="12080" max="12288" width="13.5" style="139"/>
    <col min="12289" max="12289" width="4.33203125" style="139" customWidth="1"/>
    <col min="12290" max="12290" width="8" style="139" customWidth="1"/>
    <col min="12291" max="12291" width="15.5" style="139" customWidth="1"/>
    <col min="12292" max="12292" width="75.1640625" style="139" customWidth="1"/>
    <col min="12293" max="12293" width="5" style="139" customWidth="1"/>
    <col min="12294" max="12294" width="15" style="139" customWidth="1"/>
    <col min="12295" max="12295" width="14" style="139" customWidth="1"/>
    <col min="12296" max="12298" width="16.6640625" style="139" customWidth="1"/>
    <col min="12299" max="12301" width="13.6640625" style="139" customWidth="1"/>
    <col min="12302" max="12335" width="0" style="139" hidden="1" customWidth="1"/>
    <col min="12336" max="12544" width="13.5" style="139"/>
    <col min="12545" max="12545" width="4.33203125" style="139" customWidth="1"/>
    <col min="12546" max="12546" width="8" style="139" customWidth="1"/>
    <col min="12547" max="12547" width="15.5" style="139" customWidth="1"/>
    <col min="12548" max="12548" width="75.1640625" style="139" customWidth="1"/>
    <col min="12549" max="12549" width="5" style="139" customWidth="1"/>
    <col min="12550" max="12550" width="15" style="139" customWidth="1"/>
    <col min="12551" max="12551" width="14" style="139" customWidth="1"/>
    <col min="12552" max="12554" width="16.6640625" style="139" customWidth="1"/>
    <col min="12555" max="12557" width="13.6640625" style="139" customWidth="1"/>
    <col min="12558" max="12591" width="0" style="139" hidden="1" customWidth="1"/>
    <col min="12592" max="12800" width="13.5" style="139"/>
    <col min="12801" max="12801" width="4.33203125" style="139" customWidth="1"/>
    <col min="12802" max="12802" width="8" style="139" customWidth="1"/>
    <col min="12803" max="12803" width="15.5" style="139" customWidth="1"/>
    <col min="12804" max="12804" width="75.1640625" style="139" customWidth="1"/>
    <col min="12805" max="12805" width="5" style="139" customWidth="1"/>
    <col min="12806" max="12806" width="15" style="139" customWidth="1"/>
    <col min="12807" max="12807" width="14" style="139" customWidth="1"/>
    <col min="12808" max="12810" width="16.6640625" style="139" customWidth="1"/>
    <col min="12811" max="12813" width="13.6640625" style="139" customWidth="1"/>
    <col min="12814" max="12847" width="0" style="139" hidden="1" customWidth="1"/>
    <col min="12848" max="13056" width="13.5" style="139"/>
    <col min="13057" max="13057" width="4.33203125" style="139" customWidth="1"/>
    <col min="13058" max="13058" width="8" style="139" customWidth="1"/>
    <col min="13059" max="13059" width="15.5" style="139" customWidth="1"/>
    <col min="13060" max="13060" width="75.1640625" style="139" customWidth="1"/>
    <col min="13061" max="13061" width="5" style="139" customWidth="1"/>
    <col min="13062" max="13062" width="15" style="139" customWidth="1"/>
    <col min="13063" max="13063" width="14" style="139" customWidth="1"/>
    <col min="13064" max="13066" width="16.6640625" style="139" customWidth="1"/>
    <col min="13067" max="13069" width="13.6640625" style="139" customWidth="1"/>
    <col min="13070" max="13103" width="0" style="139" hidden="1" customWidth="1"/>
    <col min="13104" max="13312" width="13.5" style="139"/>
    <col min="13313" max="13313" width="4.33203125" style="139" customWidth="1"/>
    <col min="13314" max="13314" width="8" style="139" customWidth="1"/>
    <col min="13315" max="13315" width="15.5" style="139" customWidth="1"/>
    <col min="13316" max="13316" width="75.1640625" style="139" customWidth="1"/>
    <col min="13317" max="13317" width="5" style="139" customWidth="1"/>
    <col min="13318" max="13318" width="15" style="139" customWidth="1"/>
    <col min="13319" max="13319" width="14" style="139" customWidth="1"/>
    <col min="13320" max="13322" width="16.6640625" style="139" customWidth="1"/>
    <col min="13323" max="13325" width="13.6640625" style="139" customWidth="1"/>
    <col min="13326" max="13359" width="0" style="139" hidden="1" customWidth="1"/>
    <col min="13360" max="13568" width="13.5" style="139"/>
    <col min="13569" max="13569" width="4.33203125" style="139" customWidth="1"/>
    <col min="13570" max="13570" width="8" style="139" customWidth="1"/>
    <col min="13571" max="13571" width="15.5" style="139" customWidth="1"/>
    <col min="13572" max="13572" width="75.1640625" style="139" customWidth="1"/>
    <col min="13573" max="13573" width="5" style="139" customWidth="1"/>
    <col min="13574" max="13574" width="15" style="139" customWidth="1"/>
    <col min="13575" max="13575" width="14" style="139" customWidth="1"/>
    <col min="13576" max="13578" width="16.6640625" style="139" customWidth="1"/>
    <col min="13579" max="13581" width="13.6640625" style="139" customWidth="1"/>
    <col min="13582" max="13615" width="0" style="139" hidden="1" customWidth="1"/>
    <col min="13616" max="13824" width="13.5" style="139"/>
    <col min="13825" max="13825" width="4.33203125" style="139" customWidth="1"/>
    <col min="13826" max="13826" width="8" style="139" customWidth="1"/>
    <col min="13827" max="13827" width="15.5" style="139" customWidth="1"/>
    <col min="13828" max="13828" width="75.1640625" style="139" customWidth="1"/>
    <col min="13829" max="13829" width="5" style="139" customWidth="1"/>
    <col min="13830" max="13830" width="15" style="139" customWidth="1"/>
    <col min="13831" max="13831" width="14" style="139" customWidth="1"/>
    <col min="13832" max="13834" width="16.6640625" style="139" customWidth="1"/>
    <col min="13835" max="13837" width="13.6640625" style="139" customWidth="1"/>
    <col min="13838" max="13871" width="0" style="139" hidden="1" customWidth="1"/>
    <col min="13872" max="14080" width="13.5" style="139"/>
    <col min="14081" max="14081" width="4.33203125" style="139" customWidth="1"/>
    <col min="14082" max="14082" width="8" style="139" customWidth="1"/>
    <col min="14083" max="14083" width="15.5" style="139" customWidth="1"/>
    <col min="14084" max="14084" width="75.1640625" style="139" customWidth="1"/>
    <col min="14085" max="14085" width="5" style="139" customWidth="1"/>
    <col min="14086" max="14086" width="15" style="139" customWidth="1"/>
    <col min="14087" max="14087" width="14" style="139" customWidth="1"/>
    <col min="14088" max="14090" width="16.6640625" style="139" customWidth="1"/>
    <col min="14091" max="14093" width="13.6640625" style="139" customWidth="1"/>
    <col min="14094" max="14127" width="0" style="139" hidden="1" customWidth="1"/>
    <col min="14128" max="14336" width="13.5" style="139"/>
    <col min="14337" max="14337" width="4.33203125" style="139" customWidth="1"/>
    <col min="14338" max="14338" width="8" style="139" customWidth="1"/>
    <col min="14339" max="14339" width="15.5" style="139" customWidth="1"/>
    <col min="14340" max="14340" width="75.1640625" style="139" customWidth="1"/>
    <col min="14341" max="14341" width="5" style="139" customWidth="1"/>
    <col min="14342" max="14342" width="15" style="139" customWidth="1"/>
    <col min="14343" max="14343" width="14" style="139" customWidth="1"/>
    <col min="14344" max="14346" width="16.6640625" style="139" customWidth="1"/>
    <col min="14347" max="14349" width="13.6640625" style="139" customWidth="1"/>
    <col min="14350" max="14383" width="0" style="139" hidden="1" customWidth="1"/>
    <col min="14384" max="14592" width="13.5" style="139"/>
    <col min="14593" max="14593" width="4.33203125" style="139" customWidth="1"/>
    <col min="14594" max="14594" width="8" style="139" customWidth="1"/>
    <col min="14595" max="14595" width="15.5" style="139" customWidth="1"/>
    <col min="14596" max="14596" width="75.1640625" style="139" customWidth="1"/>
    <col min="14597" max="14597" width="5" style="139" customWidth="1"/>
    <col min="14598" max="14598" width="15" style="139" customWidth="1"/>
    <col min="14599" max="14599" width="14" style="139" customWidth="1"/>
    <col min="14600" max="14602" width="16.6640625" style="139" customWidth="1"/>
    <col min="14603" max="14605" width="13.6640625" style="139" customWidth="1"/>
    <col min="14606" max="14639" width="0" style="139" hidden="1" customWidth="1"/>
    <col min="14640" max="14848" width="13.5" style="139"/>
    <col min="14849" max="14849" width="4.33203125" style="139" customWidth="1"/>
    <col min="14850" max="14850" width="8" style="139" customWidth="1"/>
    <col min="14851" max="14851" width="15.5" style="139" customWidth="1"/>
    <col min="14852" max="14852" width="75.1640625" style="139" customWidth="1"/>
    <col min="14853" max="14853" width="5" style="139" customWidth="1"/>
    <col min="14854" max="14854" width="15" style="139" customWidth="1"/>
    <col min="14855" max="14855" width="14" style="139" customWidth="1"/>
    <col min="14856" max="14858" width="16.6640625" style="139" customWidth="1"/>
    <col min="14859" max="14861" width="13.6640625" style="139" customWidth="1"/>
    <col min="14862" max="14895" width="0" style="139" hidden="1" customWidth="1"/>
    <col min="14896" max="15104" width="13.5" style="139"/>
    <col min="15105" max="15105" width="4.33203125" style="139" customWidth="1"/>
    <col min="15106" max="15106" width="8" style="139" customWidth="1"/>
    <col min="15107" max="15107" width="15.5" style="139" customWidth="1"/>
    <col min="15108" max="15108" width="75.1640625" style="139" customWidth="1"/>
    <col min="15109" max="15109" width="5" style="139" customWidth="1"/>
    <col min="15110" max="15110" width="15" style="139" customWidth="1"/>
    <col min="15111" max="15111" width="14" style="139" customWidth="1"/>
    <col min="15112" max="15114" width="16.6640625" style="139" customWidth="1"/>
    <col min="15115" max="15117" width="13.6640625" style="139" customWidth="1"/>
    <col min="15118" max="15151" width="0" style="139" hidden="1" customWidth="1"/>
    <col min="15152" max="15360" width="13.5" style="139"/>
    <col min="15361" max="15361" width="4.33203125" style="139" customWidth="1"/>
    <col min="15362" max="15362" width="8" style="139" customWidth="1"/>
    <col min="15363" max="15363" width="15.5" style="139" customWidth="1"/>
    <col min="15364" max="15364" width="75.1640625" style="139" customWidth="1"/>
    <col min="15365" max="15365" width="5" style="139" customWidth="1"/>
    <col min="15366" max="15366" width="15" style="139" customWidth="1"/>
    <col min="15367" max="15367" width="14" style="139" customWidth="1"/>
    <col min="15368" max="15370" width="16.6640625" style="139" customWidth="1"/>
    <col min="15371" max="15373" width="13.6640625" style="139" customWidth="1"/>
    <col min="15374" max="15407" width="0" style="139" hidden="1" customWidth="1"/>
    <col min="15408" max="15616" width="13.5" style="139"/>
    <col min="15617" max="15617" width="4.33203125" style="139" customWidth="1"/>
    <col min="15618" max="15618" width="8" style="139" customWidth="1"/>
    <col min="15619" max="15619" width="15.5" style="139" customWidth="1"/>
    <col min="15620" max="15620" width="75.1640625" style="139" customWidth="1"/>
    <col min="15621" max="15621" width="5" style="139" customWidth="1"/>
    <col min="15622" max="15622" width="15" style="139" customWidth="1"/>
    <col min="15623" max="15623" width="14" style="139" customWidth="1"/>
    <col min="15624" max="15626" width="16.6640625" style="139" customWidth="1"/>
    <col min="15627" max="15629" width="13.6640625" style="139" customWidth="1"/>
    <col min="15630" max="15663" width="0" style="139" hidden="1" customWidth="1"/>
    <col min="15664" max="15872" width="13.5" style="139"/>
    <col min="15873" max="15873" width="4.33203125" style="139" customWidth="1"/>
    <col min="15874" max="15874" width="8" style="139" customWidth="1"/>
    <col min="15875" max="15875" width="15.5" style="139" customWidth="1"/>
    <col min="15876" max="15876" width="75.1640625" style="139" customWidth="1"/>
    <col min="15877" max="15877" width="5" style="139" customWidth="1"/>
    <col min="15878" max="15878" width="15" style="139" customWidth="1"/>
    <col min="15879" max="15879" width="14" style="139" customWidth="1"/>
    <col min="15880" max="15882" width="16.6640625" style="139" customWidth="1"/>
    <col min="15883" max="15885" width="13.6640625" style="139" customWidth="1"/>
    <col min="15886" max="15919" width="0" style="139" hidden="1" customWidth="1"/>
    <col min="15920" max="16128" width="13.5" style="139"/>
    <col min="16129" max="16129" width="4.33203125" style="139" customWidth="1"/>
    <col min="16130" max="16130" width="8" style="139" customWidth="1"/>
    <col min="16131" max="16131" width="15.5" style="139" customWidth="1"/>
    <col min="16132" max="16132" width="75.1640625" style="139" customWidth="1"/>
    <col min="16133" max="16133" width="5" style="139" customWidth="1"/>
    <col min="16134" max="16134" width="15" style="139" customWidth="1"/>
    <col min="16135" max="16135" width="14" style="139" customWidth="1"/>
    <col min="16136" max="16138" width="16.6640625" style="139" customWidth="1"/>
    <col min="16139" max="16141" width="13.6640625" style="139" customWidth="1"/>
    <col min="16142" max="16175" width="0" style="139" hidden="1" customWidth="1"/>
    <col min="16176" max="16384" width="13.5" style="139"/>
  </cols>
  <sheetData>
    <row r="1" spans="1:43" ht="32.25" customHeight="1" x14ac:dyDescent="0.35">
      <c r="A1" s="223" t="s">
        <v>175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43" x14ac:dyDescent="0.2">
      <c r="A2" s="225" t="s">
        <v>176</v>
      </c>
      <c r="B2" s="226"/>
      <c r="C2" s="226"/>
      <c r="D2" s="228" t="s">
        <v>177</v>
      </c>
      <c r="E2" s="230" t="s">
        <v>178</v>
      </c>
      <c r="F2" s="226"/>
      <c r="G2" s="230"/>
      <c r="H2" s="226"/>
      <c r="I2" s="231" t="s">
        <v>179</v>
      </c>
      <c r="J2" s="231" t="s">
        <v>180</v>
      </c>
      <c r="K2" s="226"/>
      <c r="L2" s="226"/>
      <c r="M2" s="232"/>
      <c r="N2" s="140"/>
    </row>
    <row r="3" spans="1:43" x14ac:dyDescent="0.2">
      <c r="A3" s="227"/>
      <c r="B3" s="221"/>
      <c r="C3" s="221"/>
      <c r="D3" s="229"/>
      <c r="E3" s="221"/>
      <c r="F3" s="221"/>
      <c r="G3" s="221"/>
      <c r="H3" s="221"/>
      <c r="I3" s="221"/>
      <c r="J3" s="221"/>
      <c r="K3" s="221"/>
      <c r="L3" s="221"/>
      <c r="M3" s="222"/>
      <c r="N3" s="140"/>
    </row>
    <row r="4" spans="1:43" x14ac:dyDescent="0.2">
      <c r="A4" s="233" t="s">
        <v>181</v>
      </c>
      <c r="B4" s="221"/>
      <c r="C4" s="221"/>
      <c r="D4" s="220" t="s">
        <v>182</v>
      </c>
      <c r="E4" s="234" t="s">
        <v>183</v>
      </c>
      <c r="F4" s="221"/>
      <c r="G4" s="234" t="s">
        <v>22</v>
      </c>
      <c r="H4" s="221"/>
      <c r="I4" s="220" t="s">
        <v>25</v>
      </c>
      <c r="J4" s="220" t="s">
        <v>184</v>
      </c>
      <c r="K4" s="221"/>
      <c r="L4" s="221"/>
      <c r="M4" s="222"/>
      <c r="N4" s="140"/>
    </row>
    <row r="5" spans="1:43" x14ac:dyDescent="0.2">
      <c r="A5" s="227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2"/>
      <c r="N5" s="140"/>
    </row>
    <row r="6" spans="1:43" x14ac:dyDescent="0.2">
      <c r="A6" s="233" t="s">
        <v>185</v>
      </c>
      <c r="B6" s="221"/>
      <c r="C6" s="221"/>
      <c r="D6" s="220" t="s">
        <v>18</v>
      </c>
      <c r="E6" s="234" t="s">
        <v>186</v>
      </c>
      <c r="F6" s="221"/>
      <c r="G6" s="221"/>
      <c r="H6" s="221"/>
      <c r="I6" s="220" t="s">
        <v>24</v>
      </c>
      <c r="J6" s="220"/>
      <c r="K6" s="221"/>
      <c r="L6" s="221"/>
      <c r="M6" s="222"/>
    </row>
    <row r="7" spans="1:43" x14ac:dyDescent="0.2">
      <c r="A7" s="227"/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2"/>
    </row>
    <row r="8" spans="1:43" x14ac:dyDescent="0.2">
      <c r="A8" s="233" t="s">
        <v>187</v>
      </c>
      <c r="B8" s="221"/>
      <c r="C8" s="221"/>
      <c r="D8" s="220"/>
      <c r="E8" s="234" t="s">
        <v>188</v>
      </c>
      <c r="F8" s="221"/>
      <c r="G8" s="240">
        <v>45922</v>
      </c>
      <c r="H8" s="221"/>
      <c r="I8" s="220" t="s">
        <v>189</v>
      </c>
      <c r="J8" s="220" t="s">
        <v>184</v>
      </c>
      <c r="K8" s="221"/>
      <c r="L8" s="221"/>
      <c r="M8" s="222"/>
    </row>
    <row r="9" spans="1:43" ht="13.5" thickBot="1" x14ac:dyDescent="0.25">
      <c r="A9" s="239"/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6"/>
    </row>
    <row r="10" spans="1:43" x14ac:dyDescent="0.2">
      <c r="A10" s="146" t="s">
        <v>190</v>
      </c>
      <c r="B10" s="147" t="s">
        <v>232</v>
      </c>
      <c r="C10" s="147" t="s">
        <v>50</v>
      </c>
      <c r="D10" s="147" t="s">
        <v>191</v>
      </c>
      <c r="E10" s="147" t="s">
        <v>192</v>
      </c>
      <c r="F10" s="148" t="s">
        <v>91</v>
      </c>
      <c r="G10" s="149" t="s">
        <v>193</v>
      </c>
      <c r="H10" s="241" t="s">
        <v>194</v>
      </c>
      <c r="I10" s="242"/>
      <c r="J10" s="243"/>
      <c r="K10" s="241" t="s">
        <v>195</v>
      </c>
      <c r="L10" s="243"/>
      <c r="M10" s="150" t="s">
        <v>265</v>
      </c>
    </row>
    <row r="11" spans="1:43" ht="13.5" thickBot="1" x14ac:dyDescent="0.25">
      <c r="A11" s="151" t="s">
        <v>22</v>
      </c>
      <c r="B11" s="152" t="s">
        <v>22</v>
      </c>
      <c r="C11" s="152" t="s">
        <v>22</v>
      </c>
      <c r="D11" s="153" t="s">
        <v>196</v>
      </c>
      <c r="E11" s="152" t="s">
        <v>22</v>
      </c>
      <c r="F11" s="152" t="s">
        <v>22</v>
      </c>
      <c r="G11" s="154" t="s">
        <v>197</v>
      </c>
      <c r="H11" s="155" t="s">
        <v>198</v>
      </c>
      <c r="I11" s="156" t="s">
        <v>199</v>
      </c>
      <c r="J11" s="157" t="s">
        <v>200</v>
      </c>
      <c r="K11" s="155" t="s">
        <v>193</v>
      </c>
      <c r="L11" s="157" t="s">
        <v>200</v>
      </c>
      <c r="M11" s="158" t="s">
        <v>266</v>
      </c>
      <c r="P11" s="138" t="s">
        <v>233</v>
      </c>
      <c r="Q11" s="138" t="s">
        <v>234</v>
      </c>
      <c r="R11" s="138" t="s">
        <v>235</v>
      </c>
      <c r="S11" s="138" t="s">
        <v>236</v>
      </c>
      <c r="T11" s="138" t="s">
        <v>237</v>
      </c>
      <c r="U11" s="138" t="s">
        <v>238</v>
      </c>
      <c r="V11" s="138" t="s">
        <v>239</v>
      </c>
      <c r="W11" s="138" t="s">
        <v>240</v>
      </c>
      <c r="X11" s="138" t="s">
        <v>241</v>
      </c>
    </row>
    <row r="12" spans="1:43" ht="15" customHeight="1" x14ac:dyDescent="0.2">
      <c r="A12" s="165"/>
      <c r="B12" s="166"/>
      <c r="C12" s="166" t="s">
        <v>140</v>
      </c>
      <c r="D12" s="244" t="s">
        <v>201</v>
      </c>
      <c r="E12" s="245"/>
      <c r="F12" s="245"/>
      <c r="G12" s="245"/>
      <c r="H12" s="167">
        <f>SUM(H13:H15)</f>
        <v>0</v>
      </c>
      <c r="I12" s="167">
        <f>SUM(I13:I15)</f>
        <v>0</v>
      </c>
      <c r="J12" s="167">
        <f>H12+I12</f>
        <v>0</v>
      </c>
      <c r="K12" s="168"/>
      <c r="L12" s="167">
        <f>SUM(L13:L15)</f>
        <v>6.9199999999999998E-2</v>
      </c>
      <c r="M12" s="159"/>
      <c r="P12" s="137">
        <f>IF(Q12="PR",J12,SUM(O13:O15))</f>
        <v>0</v>
      </c>
      <c r="Q12" s="138" t="s">
        <v>242</v>
      </c>
      <c r="R12" s="137">
        <f>IF(Q12="HS",H12,0)</f>
        <v>0</v>
      </c>
      <c r="S12" s="137">
        <f>IF(Q12="HS",I12-P12,0)</f>
        <v>0</v>
      </c>
      <c r="T12" s="137">
        <f>IF(Q12="PS",H12,0)</f>
        <v>0</v>
      </c>
      <c r="U12" s="137">
        <f>IF(Q12="PS",I12-P12,0)</f>
        <v>0</v>
      </c>
      <c r="V12" s="137">
        <f>IF(Q12="MP",H12,0)</f>
        <v>0</v>
      </c>
      <c r="W12" s="137">
        <f>IF(Q12="MP",I12-P12,0)</f>
        <v>0</v>
      </c>
      <c r="X12" s="137">
        <f>IF(Q12="OM",H12,0)</f>
        <v>0</v>
      </c>
      <c r="Y12" s="138"/>
      <c r="AI12" s="137">
        <f>SUM(Z13:Z15)</f>
        <v>0</v>
      </c>
      <c r="AJ12" s="137">
        <f>SUM(AA13:AA15)</f>
        <v>0</v>
      </c>
      <c r="AK12" s="137">
        <f>SUM(AB13:AB15)</f>
        <v>0</v>
      </c>
    </row>
    <row r="13" spans="1:43" ht="15" customHeight="1" x14ac:dyDescent="0.2">
      <c r="A13" s="169" t="s">
        <v>73</v>
      </c>
      <c r="B13" s="169"/>
      <c r="C13" s="169" t="s">
        <v>202</v>
      </c>
      <c r="D13" s="169" t="s">
        <v>203</v>
      </c>
      <c r="E13" s="169" t="s">
        <v>109</v>
      </c>
      <c r="F13" s="170">
        <v>100</v>
      </c>
      <c r="G13" s="170"/>
      <c r="H13" s="170">
        <f>F13*AE13</f>
        <v>0</v>
      </c>
      <c r="I13" s="170">
        <f>J13-H13</f>
        <v>0</v>
      </c>
      <c r="J13" s="170">
        <f>F13*G13</f>
        <v>0</v>
      </c>
      <c r="K13" s="170">
        <v>0</v>
      </c>
      <c r="L13" s="170">
        <f>F13*K13</f>
        <v>0</v>
      </c>
      <c r="M13" s="141" t="s">
        <v>267</v>
      </c>
      <c r="N13" s="141" t="s">
        <v>73</v>
      </c>
      <c r="O13" s="136">
        <f>IF(N13="5",I13,0)</f>
        <v>0</v>
      </c>
      <c r="Z13" s="136">
        <f>IF(AD13=0,J13,0)</f>
        <v>0</v>
      </c>
      <c r="AA13" s="136">
        <f>IF(AD13=15,J13,0)</f>
        <v>0</v>
      </c>
      <c r="AB13" s="136">
        <f>IF(AD13=21,J13,0)</f>
        <v>0</v>
      </c>
      <c r="AD13" s="142">
        <v>21</v>
      </c>
      <c r="AE13" s="142">
        <f>G13*0</f>
        <v>0</v>
      </c>
      <c r="AF13" s="142">
        <f>G13*(1-0)</f>
        <v>0</v>
      </c>
      <c r="AM13" s="142">
        <f>F13*AE13</f>
        <v>0</v>
      </c>
      <c r="AN13" s="142">
        <f>F13*AF13</f>
        <v>0</v>
      </c>
      <c r="AO13" s="143" t="s">
        <v>243</v>
      </c>
      <c r="AP13" s="143" t="s">
        <v>244</v>
      </c>
      <c r="AQ13" s="138" t="s">
        <v>245</v>
      </c>
    </row>
    <row r="14" spans="1:43" ht="15" customHeight="1" x14ac:dyDescent="0.2">
      <c r="A14" s="169" t="s">
        <v>75</v>
      </c>
      <c r="B14" s="169"/>
      <c r="C14" s="169" t="s">
        <v>204</v>
      </c>
      <c r="D14" s="169" t="s">
        <v>205</v>
      </c>
      <c r="E14" s="169" t="s">
        <v>206</v>
      </c>
      <c r="F14" s="170">
        <v>10</v>
      </c>
      <c r="G14" s="170"/>
      <c r="H14" s="170">
        <f>F14*AE14</f>
        <v>0</v>
      </c>
      <c r="I14" s="170">
        <f>J14-H14</f>
        <v>0</v>
      </c>
      <c r="J14" s="170">
        <f>F14*G14</f>
        <v>0</v>
      </c>
      <c r="K14" s="170">
        <v>6.9199999999999999E-3</v>
      </c>
      <c r="L14" s="170">
        <f>F14*K14</f>
        <v>6.9199999999999998E-2</v>
      </c>
      <c r="M14" s="141" t="s">
        <v>267</v>
      </c>
      <c r="N14" s="141" t="s">
        <v>73</v>
      </c>
      <c r="O14" s="136">
        <f>IF(N14="5",I14,0)</f>
        <v>0</v>
      </c>
      <c r="Z14" s="136">
        <f>IF(AD14=0,J14,0)</f>
        <v>0</v>
      </c>
      <c r="AA14" s="136">
        <f>IF(AD14=15,J14,0)</f>
        <v>0</v>
      </c>
      <c r="AB14" s="136">
        <f>IF(AD14=21,J14,0)</f>
        <v>0</v>
      </c>
      <c r="AD14" s="142">
        <v>21</v>
      </c>
      <c r="AE14" s="142">
        <f>G14*0.40736231884058</f>
        <v>0</v>
      </c>
      <c r="AF14" s="142">
        <f>G14*(1-0.40736231884058)</f>
        <v>0</v>
      </c>
      <c r="AM14" s="142">
        <f>F14*AE14</f>
        <v>0</v>
      </c>
      <c r="AN14" s="142">
        <f>F14*AF14</f>
        <v>0</v>
      </c>
      <c r="AO14" s="143" t="s">
        <v>243</v>
      </c>
      <c r="AP14" s="143" t="s">
        <v>244</v>
      </c>
      <c r="AQ14" s="138" t="s">
        <v>245</v>
      </c>
    </row>
    <row r="15" spans="1:43" ht="15" customHeight="1" x14ac:dyDescent="0.2">
      <c r="A15" s="169" t="s">
        <v>114</v>
      </c>
      <c r="B15" s="169"/>
      <c r="C15" s="169" t="s">
        <v>207</v>
      </c>
      <c r="D15" s="169" t="s">
        <v>208</v>
      </c>
      <c r="E15" s="169" t="s">
        <v>209</v>
      </c>
      <c r="F15" s="170">
        <v>24</v>
      </c>
      <c r="G15" s="170"/>
      <c r="H15" s="170">
        <f>F15*AE15</f>
        <v>0</v>
      </c>
      <c r="I15" s="170">
        <f>J15-H15</f>
        <v>0</v>
      </c>
      <c r="J15" s="170">
        <f>F15*G15</f>
        <v>0</v>
      </c>
      <c r="K15" s="170">
        <v>0</v>
      </c>
      <c r="L15" s="170">
        <f>F15*K15</f>
        <v>0</v>
      </c>
      <c r="M15" s="141" t="s">
        <v>267</v>
      </c>
      <c r="N15" s="141" t="s">
        <v>73</v>
      </c>
      <c r="O15" s="136">
        <f>IF(N15="5",I15,0)</f>
        <v>0</v>
      </c>
      <c r="Z15" s="136">
        <f>IF(AD15=0,J15,0)</f>
        <v>0</v>
      </c>
      <c r="AA15" s="136">
        <f>IF(AD15=15,J15,0)</f>
        <v>0</v>
      </c>
      <c r="AB15" s="136">
        <f>IF(AD15=21,J15,0)</f>
        <v>0</v>
      </c>
      <c r="AD15" s="142">
        <v>21</v>
      </c>
      <c r="AE15" s="142">
        <f>G15*0</f>
        <v>0</v>
      </c>
      <c r="AF15" s="142">
        <f>G15*(1-0)</f>
        <v>0</v>
      </c>
      <c r="AM15" s="142">
        <f>F15*AE15</f>
        <v>0</v>
      </c>
      <c r="AN15" s="142">
        <f>F15*AF15</f>
        <v>0</v>
      </c>
      <c r="AO15" s="143" t="s">
        <v>243</v>
      </c>
      <c r="AP15" s="143" t="s">
        <v>244</v>
      </c>
      <c r="AQ15" s="138" t="s">
        <v>245</v>
      </c>
    </row>
    <row r="16" spans="1:43" ht="15" customHeight="1" x14ac:dyDescent="0.2">
      <c r="A16" s="169"/>
      <c r="B16" s="171"/>
      <c r="C16" s="171" t="s">
        <v>8</v>
      </c>
      <c r="D16" s="237" t="s">
        <v>210</v>
      </c>
      <c r="E16" s="238"/>
      <c r="F16" s="238"/>
      <c r="G16" s="238"/>
      <c r="H16" s="172">
        <f>SUM(H17:H17)</f>
        <v>0</v>
      </c>
      <c r="I16" s="172">
        <f>SUM(I17:I17)</f>
        <v>0</v>
      </c>
      <c r="J16" s="172">
        <f>H16+I16</f>
        <v>0</v>
      </c>
      <c r="K16" s="173"/>
      <c r="L16" s="172">
        <f>SUM(L17:L17)</f>
        <v>0</v>
      </c>
      <c r="M16" s="160"/>
      <c r="P16" s="137">
        <f>IF(Q16="PR",J16,SUM(O17:O17))</f>
        <v>0</v>
      </c>
      <c r="Q16" s="138" t="s">
        <v>242</v>
      </c>
      <c r="R16" s="137">
        <f>IF(Q16="HS",H16,0)</f>
        <v>0</v>
      </c>
      <c r="S16" s="137">
        <f>IF(Q16="HS",I16-P16,0)</f>
        <v>0</v>
      </c>
      <c r="T16" s="137">
        <f>IF(Q16="PS",H16,0)</f>
        <v>0</v>
      </c>
      <c r="U16" s="137">
        <f>IF(Q16="PS",I16-P16,0)</f>
        <v>0</v>
      </c>
      <c r="V16" s="137">
        <f>IF(Q16="MP",H16,0)</f>
        <v>0</v>
      </c>
      <c r="W16" s="137">
        <f>IF(Q16="MP",I16-P16,0)</f>
        <v>0</v>
      </c>
      <c r="X16" s="137">
        <f>IF(Q16="OM",H16,0)</f>
        <v>0</v>
      </c>
      <c r="Y16" s="138"/>
      <c r="AI16" s="137">
        <f>SUM(Z17:Z17)</f>
        <v>0</v>
      </c>
      <c r="AJ16" s="137">
        <f>SUM(AA17:AA17)</f>
        <v>0</v>
      </c>
      <c r="AK16" s="137">
        <f>SUM(AB17:AB17)</f>
        <v>0</v>
      </c>
    </row>
    <row r="17" spans="1:43" ht="15" customHeight="1" x14ac:dyDescent="0.2">
      <c r="A17" s="169" t="s">
        <v>110</v>
      </c>
      <c r="B17" s="169"/>
      <c r="C17" s="169" t="s">
        <v>211</v>
      </c>
      <c r="D17" s="169" t="s">
        <v>212</v>
      </c>
      <c r="E17" s="169" t="s">
        <v>213</v>
      </c>
      <c r="F17" s="170">
        <v>12</v>
      </c>
      <c r="G17" s="170"/>
      <c r="H17" s="170">
        <f>F17*AE17</f>
        <v>0</v>
      </c>
      <c r="I17" s="170">
        <f>J17-H17</f>
        <v>0</v>
      </c>
      <c r="J17" s="170">
        <f>F17*G17</f>
        <v>0</v>
      </c>
      <c r="K17" s="170">
        <v>0</v>
      </c>
      <c r="L17" s="170">
        <f>F17*K17</f>
        <v>0</v>
      </c>
      <c r="M17" s="141" t="s">
        <v>267</v>
      </c>
      <c r="N17" s="141" t="s">
        <v>73</v>
      </c>
      <c r="O17" s="136">
        <f>IF(N17="5",I17,0)</f>
        <v>0</v>
      </c>
      <c r="Z17" s="136">
        <f>IF(AD17=0,J17,0)</f>
        <v>0</v>
      </c>
      <c r="AA17" s="136">
        <f>IF(AD17=15,J17,0)</f>
        <v>0</v>
      </c>
      <c r="AB17" s="136">
        <f>IF(AD17=21,J17,0)</f>
        <v>0</v>
      </c>
      <c r="AD17" s="142">
        <v>21</v>
      </c>
      <c r="AE17" s="142">
        <f>G17*0</f>
        <v>0</v>
      </c>
      <c r="AF17" s="142">
        <f>G17*(1-0)</f>
        <v>0</v>
      </c>
      <c r="AM17" s="142">
        <f>F17*AE17</f>
        <v>0</v>
      </c>
      <c r="AN17" s="142">
        <f>F17*AF17</f>
        <v>0</v>
      </c>
      <c r="AO17" s="143" t="s">
        <v>246</v>
      </c>
      <c r="AP17" s="143" t="s">
        <v>244</v>
      </c>
      <c r="AQ17" s="138" t="s">
        <v>245</v>
      </c>
    </row>
    <row r="18" spans="1:43" ht="15" customHeight="1" x14ac:dyDescent="0.2">
      <c r="A18" s="169"/>
      <c r="B18" s="171"/>
      <c r="C18" s="171" t="s">
        <v>247</v>
      </c>
      <c r="D18" s="237" t="s">
        <v>248</v>
      </c>
      <c r="E18" s="238"/>
      <c r="F18" s="238"/>
      <c r="G18" s="238"/>
      <c r="H18" s="172">
        <f>SUM(H19:H19)</f>
        <v>0</v>
      </c>
      <c r="I18" s="172">
        <f>SUM(I19:I19)</f>
        <v>0</v>
      </c>
      <c r="J18" s="172">
        <f>H18+I18</f>
        <v>0</v>
      </c>
      <c r="K18" s="173"/>
      <c r="L18" s="172">
        <f>SUM(L19:L19)</f>
        <v>1.2199575</v>
      </c>
      <c r="M18" s="160"/>
      <c r="P18" s="137">
        <f>IF(Q18="PR",J18,SUM(O19:O19))</f>
        <v>0</v>
      </c>
      <c r="Q18" s="138" t="s">
        <v>242</v>
      </c>
      <c r="R18" s="137">
        <f>IF(Q18="HS",H18,0)</f>
        <v>0</v>
      </c>
      <c r="S18" s="137">
        <f>IF(Q18="HS",I18-P18,0)</f>
        <v>0</v>
      </c>
      <c r="T18" s="137">
        <f>IF(Q18="PS",H18,0)</f>
        <v>0</v>
      </c>
      <c r="U18" s="137">
        <f>IF(Q18="PS",I18-P18,0)</f>
        <v>0</v>
      </c>
      <c r="V18" s="137">
        <f>IF(Q18="MP",H18,0)</f>
        <v>0</v>
      </c>
      <c r="W18" s="137">
        <f>IF(Q18="MP",I18-P18,0)</f>
        <v>0</v>
      </c>
      <c r="X18" s="137">
        <f>IF(Q18="OM",H18,0)</f>
        <v>0</v>
      </c>
      <c r="Y18" s="138"/>
      <c r="AI18" s="137">
        <f>SUM(Z19:Z19)</f>
        <v>0</v>
      </c>
      <c r="AJ18" s="137">
        <f>SUM(AA19:AA19)</f>
        <v>0</v>
      </c>
      <c r="AK18" s="137">
        <f>SUM(AB19:AB19)</f>
        <v>0</v>
      </c>
    </row>
    <row r="19" spans="1:43" ht="15" customHeight="1" x14ac:dyDescent="0.2">
      <c r="A19" s="169" t="s">
        <v>120</v>
      </c>
      <c r="B19" s="169"/>
      <c r="C19" s="169" t="s">
        <v>249</v>
      </c>
      <c r="D19" s="169" t="s">
        <v>250</v>
      </c>
      <c r="E19" s="169" t="s">
        <v>109</v>
      </c>
      <c r="F19" s="170">
        <v>11.85</v>
      </c>
      <c r="G19" s="170"/>
      <c r="H19" s="170">
        <f>F19*AE19</f>
        <v>0</v>
      </c>
      <c r="I19" s="170">
        <f>J19-H19</f>
        <v>0</v>
      </c>
      <c r="J19" s="170">
        <f>F19*G19</f>
        <v>0</v>
      </c>
      <c r="K19" s="170">
        <v>0.10295</v>
      </c>
      <c r="L19" s="170">
        <f>F19*K19</f>
        <v>1.2199575</v>
      </c>
      <c r="M19" s="141" t="s">
        <v>267</v>
      </c>
      <c r="N19" s="141" t="s">
        <v>114</v>
      </c>
      <c r="O19" s="136">
        <f>IF(N19="5",I19,0)</f>
        <v>0</v>
      </c>
      <c r="Z19" s="136">
        <f>IF(AD19=0,J19,0)</f>
        <v>0</v>
      </c>
      <c r="AA19" s="136">
        <f>IF(AD19=15,J19,0)</f>
        <v>0</v>
      </c>
      <c r="AB19" s="136">
        <f>IF(AD19=21,J19,0)</f>
        <v>0</v>
      </c>
      <c r="AD19" s="142">
        <v>21</v>
      </c>
      <c r="AE19" s="142">
        <f>G19*0.193401518723882</f>
        <v>0</v>
      </c>
      <c r="AF19" s="142">
        <f>G19*(1-0.193401518723882)</f>
        <v>0</v>
      </c>
      <c r="AM19" s="142">
        <f>F19*AE19</f>
        <v>0</v>
      </c>
      <c r="AN19" s="142">
        <f>F19*AF19</f>
        <v>0</v>
      </c>
      <c r="AO19" s="143" t="s">
        <v>251</v>
      </c>
      <c r="AP19" s="143" t="s">
        <v>252</v>
      </c>
      <c r="AQ19" s="138" t="s">
        <v>245</v>
      </c>
    </row>
    <row r="20" spans="1:43" ht="15" customHeight="1" x14ac:dyDescent="0.2">
      <c r="A20" s="169"/>
      <c r="B20" s="171"/>
      <c r="C20" s="171" t="s">
        <v>214</v>
      </c>
      <c r="D20" s="237" t="s">
        <v>215</v>
      </c>
      <c r="E20" s="238"/>
      <c r="F20" s="238"/>
      <c r="G20" s="238"/>
      <c r="H20" s="172">
        <f>SUM(H21:H22)</f>
        <v>0</v>
      </c>
      <c r="I20" s="172">
        <f>SUM(I21:I22)</f>
        <v>0</v>
      </c>
      <c r="J20" s="172">
        <f>H20+I20</f>
        <v>0</v>
      </c>
      <c r="K20" s="173"/>
      <c r="L20" s="172">
        <f>SUM(L21:L22)</f>
        <v>0.88</v>
      </c>
      <c r="M20" s="160"/>
      <c r="P20" s="137">
        <f>IF(Q20="PR",J20,SUM(O21:O22))</f>
        <v>0</v>
      </c>
      <c r="Q20" s="138" t="s">
        <v>242</v>
      </c>
      <c r="R20" s="137">
        <f>IF(Q20="HS",H20,0)</f>
        <v>0</v>
      </c>
      <c r="S20" s="137">
        <f>IF(Q20="HS",I20-P20,0)</f>
        <v>0</v>
      </c>
      <c r="T20" s="137">
        <f>IF(Q20="PS",H20,0)</f>
        <v>0</v>
      </c>
      <c r="U20" s="137">
        <f>IF(Q20="PS",I20-P20,0)</f>
        <v>0</v>
      </c>
      <c r="V20" s="137">
        <f>IF(Q20="MP",H20,0)</f>
        <v>0</v>
      </c>
      <c r="W20" s="137">
        <f>IF(Q20="MP",I20-P20,0)</f>
        <v>0</v>
      </c>
      <c r="X20" s="137">
        <f>IF(Q20="OM",H20,0)</f>
        <v>0</v>
      </c>
      <c r="Y20" s="138"/>
      <c r="AI20" s="137">
        <f>SUM(Z21:Z22)</f>
        <v>0</v>
      </c>
      <c r="AJ20" s="137">
        <f>SUM(AA21:AA22)</f>
        <v>0</v>
      </c>
      <c r="AK20" s="137">
        <f>SUM(AB21:AB22)</f>
        <v>0</v>
      </c>
    </row>
    <row r="21" spans="1:43" ht="15" customHeight="1" x14ac:dyDescent="0.2">
      <c r="A21" s="169" t="s">
        <v>123</v>
      </c>
      <c r="B21" s="169"/>
      <c r="C21" s="169" t="s">
        <v>216</v>
      </c>
      <c r="D21" s="169" t="s">
        <v>217</v>
      </c>
      <c r="E21" s="169" t="s">
        <v>109</v>
      </c>
      <c r="F21" s="170">
        <v>11</v>
      </c>
      <c r="G21" s="170"/>
      <c r="H21" s="170">
        <f>F21*AE21</f>
        <v>0</v>
      </c>
      <c r="I21" s="170">
        <f>J21-H21</f>
        <v>0</v>
      </c>
      <c r="J21" s="170">
        <f>F21*G21</f>
        <v>0</v>
      </c>
      <c r="K21" s="170">
        <v>0.08</v>
      </c>
      <c r="L21" s="170">
        <f>F21*K21</f>
        <v>0.88</v>
      </c>
      <c r="M21" s="141" t="s">
        <v>267</v>
      </c>
      <c r="N21" s="141" t="s">
        <v>73</v>
      </c>
      <c r="O21" s="136">
        <f>IF(N21="5",I21,0)</f>
        <v>0</v>
      </c>
      <c r="Z21" s="136">
        <f>IF(AD21=0,J21,0)</f>
        <v>0</v>
      </c>
      <c r="AA21" s="136">
        <f>IF(AD21=15,J21,0)</f>
        <v>0</v>
      </c>
      <c r="AB21" s="136">
        <f>IF(AD21=21,J21,0)</f>
        <v>0</v>
      </c>
      <c r="AD21" s="142">
        <v>21</v>
      </c>
      <c r="AE21" s="142">
        <f>G21*0.821352112676056</f>
        <v>0</v>
      </c>
      <c r="AF21" s="142">
        <f>G21*(1-0.821352112676056)</f>
        <v>0</v>
      </c>
      <c r="AM21" s="142">
        <f>F21*AE21</f>
        <v>0</v>
      </c>
      <c r="AN21" s="142">
        <f>F21*AF21</f>
        <v>0</v>
      </c>
      <c r="AO21" s="143" t="s">
        <v>253</v>
      </c>
      <c r="AP21" s="143" t="s">
        <v>252</v>
      </c>
      <c r="AQ21" s="138" t="s">
        <v>245</v>
      </c>
    </row>
    <row r="22" spans="1:43" ht="15" customHeight="1" x14ac:dyDescent="0.2">
      <c r="A22" s="169" t="s">
        <v>127</v>
      </c>
      <c r="B22" s="169"/>
      <c r="C22" s="169" t="s">
        <v>218</v>
      </c>
      <c r="D22" s="169" t="s">
        <v>219</v>
      </c>
      <c r="E22" s="169" t="s">
        <v>109</v>
      </c>
      <c r="F22" s="170">
        <v>11</v>
      </c>
      <c r="G22" s="170"/>
      <c r="H22" s="170">
        <f>F22*AE22</f>
        <v>0</v>
      </c>
      <c r="I22" s="170">
        <f>J22-H22</f>
        <v>0</v>
      </c>
      <c r="J22" s="170">
        <f>F22*G22</f>
        <v>0</v>
      </c>
      <c r="K22" s="170">
        <v>0</v>
      </c>
      <c r="L22" s="170">
        <f>F22*K22</f>
        <v>0</v>
      </c>
      <c r="M22" s="141" t="s">
        <v>267</v>
      </c>
      <c r="N22" s="141" t="s">
        <v>73</v>
      </c>
      <c r="O22" s="136">
        <f>IF(N22="5",I22,0)</f>
        <v>0</v>
      </c>
      <c r="Z22" s="136">
        <f>IF(AD22=0,J22,0)</f>
        <v>0</v>
      </c>
      <c r="AA22" s="136">
        <f>IF(AD22=15,J22,0)</f>
        <v>0</v>
      </c>
      <c r="AB22" s="136">
        <f>IF(AD22=21,J22,0)</f>
        <v>0</v>
      </c>
      <c r="AD22" s="142">
        <v>21</v>
      </c>
      <c r="AE22" s="142">
        <f>G22*0.268235294117647</f>
        <v>0</v>
      </c>
      <c r="AF22" s="142">
        <f>G22*(1-0.268235294117647)</f>
        <v>0</v>
      </c>
      <c r="AM22" s="142">
        <f>F22*AE22</f>
        <v>0</v>
      </c>
      <c r="AN22" s="142">
        <f>F22*AF22</f>
        <v>0</v>
      </c>
      <c r="AO22" s="143" t="s">
        <v>253</v>
      </c>
      <c r="AP22" s="143" t="s">
        <v>252</v>
      </c>
      <c r="AQ22" s="138" t="s">
        <v>245</v>
      </c>
    </row>
    <row r="23" spans="1:43" ht="15" customHeight="1" x14ac:dyDescent="0.2">
      <c r="A23" s="169"/>
      <c r="B23" s="171"/>
      <c r="C23" s="171" t="s">
        <v>268</v>
      </c>
      <c r="D23" s="237" t="s">
        <v>269</v>
      </c>
      <c r="E23" s="238"/>
      <c r="F23" s="238"/>
      <c r="G23" s="238"/>
      <c r="H23" s="172">
        <f>SUM(H24:H24)</f>
        <v>0</v>
      </c>
      <c r="I23" s="172">
        <f>SUM(I24:I24)</f>
        <v>0</v>
      </c>
      <c r="J23" s="172">
        <f>H23+I23</f>
        <v>0</v>
      </c>
      <c r="K23" s="173"/>
      <c r="L23" s="172">
        <f>SUM(L24:L24)</f>
        <v>2.8600000000000001E-3</v>
      </c>
      <c r="M23" s="160"/>
      <c r="P23" s="137">
        <f>IF(Q23="PR",J23,SUM(O24:O24))</f>
        <v>0</v>
      </c>
      <c r="Q23" s="138" t="s">
        <v>256</v>
      </c>
      <c r="R23" s="137">
        <f>IF(Q23="HS",H23,0)</f>
        <v>0</v>
      </c>
      <c r="S23" s="137">
        <f>IF(Q23="HS",I23-P23,0)</f>
        <v>0</v>
      </c>
      <c r="T23" s="137">
        <f>IF(Q23="PS",H23,0)</f>
        <v>0</v>
      </c>
      <c r="U23" s="137">
        <f>IF(Q23="PS",I23-P23,0)</f>
        <v>0</v>
      </c>
      <c r="V23" s="137">
        <f>IF(Q23="MP",H23,0)</f>
        <v>0</v>
      </c>
      <c r="W23" s="137">
        <f>IF(Q23="MP",I23-P23,0)</f>
        <v>0</v>
      </c>
      <c r="X23" s="137">
        <f>IF(Q23="OM",H23,0)</f>
        <v>0</v>
      </c>
      <c r="Y23" s="138"/>
      <c r="AI23" s="137">
        <f>SUM(Z24:Z24)</f>
        <v>0</v>
      </c>
      <c r="AJ23" s="137">
        <f>SUM(AA24:AA24)</f>
        <v>0</v>
      </c>
      <c r="AK23" s="137">
        <f>SUM(AB24:AB24)</f>
        <v>0</v>
      </c>
    </row>
    <row r="24" spans="1:43" ht="15" customHeight="1" x14ac:dyDescent="0.2">
      <c r="A24" s="169" t="s">
        <v>130</v>
      </c>
      <c r="B24" s="169"/>
      <c r="C24" s="169" t="s">
        <v>270</v>
      </c>
      <c r="D24" s="169" t="s">
        <v>271</v>
      </c>
      <c r="E24" s="169" t="s">
        <v>109</v>
      </c>
      <c r="F24" s="170">
        <v>13</v>
      </c>
      <c r="G24" s="170"/>
      <c r="H24" s="170">
        <f>F24*AE24</f>
        <v>0</v>
      </c>
      <c r="I24" s="170">
        <f>J24-H24</f>
        <v>0</v>
      </c>
      <c r="J24" s="170">
        <f>F24*G24</f>
        <v>0</v>
      </c>
      <c r="K24" s="170">
        <v>2.2000000000000001E-4</v>
      </c>
      <c r="L24" s="170">
        <f>F24*K24</f>
        <v>2.8600000000000001E-3</v>
      </c>
      <c r="M24" s="141" t="s">
        <v>267</v>
      </c>
      <c r="N24" s="141" t="s">
        <v>114</v>
      </c>
      <c r="O24" s="136">
        <f>IF(N24="5",I24,0)</f>
        <v>0</v>
      </c>
      <c r="Z24" s="136">
        <f>IF(AD24=0,J24,0)</f>
        <v>0</v>
      </c>
      <c r="AA24" s="136">
        <f>IF(AD24=15,J24,0)</f>
        <v>0</v>
      </c>
      <c r="AB24" s="136">
        <f>IF(AD24=21,J24,0)</f>
        <v>0</v>
      </c>
      <c r="AD24" s="142">
        <v>21</v>
      </c>
      <c r="AE24" s="142">
        <f>G24*0</f>
        <v>0</v>
      </c>
      <c r="AF24" s="142">
        <f>G24*(1-0)</f>
        <v>0</v>
      </c>
      <c r="AM24" s="142">
        <f>F24*AE24</f>
        <v>0</v>
      </c>
      <c r="AN24" s="142">
        <f>F24*AF24</f>
        <v>0</v>
      </c>
      <c r="AO24" s="143" t="s">
        <v>259</v>
      </c>
      <c r="AP24" s="143" t="s">
        <v>260</v>
      </c>
      <c r="AQ24" s="138" t="s">
        <v>245</v>
      </c>
    </row>
    <row r="25" spans="1:43" ht="15" customHeight="1" x14ac:dyDescent="0.2">
      <c r="A25" s="169"/>
      <c r="B25" s="171"/>
      <c r="C25" s="171" t="s">
        <v>254</v>
      </c>
      <c r="D25" s="237" t="s">
        <v>255</v>
      </c>
      <c r="E25" s="238"/>
      <c r="F25" s="238"/>
      <c r="G25" s="238"/>
      <c r="H25" s="172">
        <f>SUM(H26:H26)</f>
        <v>0</v>
      </c>
      <c r="I25" s="172">
        <f>SUM(I26:I26)</f>
        <v>0</v>
      </c>
      <c r="J25" s="172">
        <f>H25+I25</f>
        <v>0</v>
      </c>
      <c r="K25" s="173"/>
      <c r="L25" s="172">
        <f>SUM(L26:L26)</f>
        <v>1.7600000000000001E-2</v>
      </c>
      <c r="M25" s="160"/>
      <c r="P25" s="137">
        <f>IF(Q25="PR",J25,SUM(O26:O26))</f>
        <v>0</v>
      </c>
      <c r="Q25" s="138" t="s">
        <v>256</v>
      </c>
      <c r="R25" s="137">
        <f>IF(Q25="HS",H25,0)</f>
        <v>0</v>
      </c>
      <c r="S25" s="137">
        <f>IF(Q25="HS",I25-P25,0)</f>
        <v>0</v>
      </c>
      <c r="T25" s="137">
        <f>IF(Q25="PS",H25,0)</f>
        <v>0</v>
      </c>
      <c r="U25" s="137">
        <f>IF(Q25="PS",I25-P25,0)</f>
        <v>0</v>
      </c>
      <c r="V25" s="137">
        <f>IF(Q25="MP",H25,0)</f>
        <v>0</v>
      </c>
      <c r="W25" s="137">
        <f>IF(Q25="MP",I25-P25,0)</f>
        <v>0</v>
      </c>
      <c r="X25" s="137">
        <f>IF(Q25="OM",H25,0)</f>
        <v>0</v>
      </c>
      <c r="Y25" s="138"/>
      <c r="AI25" s="137">
        <f>SUM(Z26:Z26)</f>
        <v>0</v>
      </c>
      <c r="AJ25" s="137">
        <f>SUM(AA26:AA26)</f>
        <v>0</v>
      </c>
      <c r="AK25" s="137">
        <f>SUM(AB26:AB26)</f>
        <v>0</v>
      </c>
    </row>
    <row r="26" spans="1:43" ht="15" customHeight="1" x14ac:dyDescent="0.2">
      <c r="A26" s="169" t="s">
        <v>104</v>
      </c>
      <c r="B26" s="169"/>
      <c r="C26" s="169" t="s">
        <v>257</v>
      </c>
      <c r="D26" s="169" t="s">
        <v>258</v>
      </c>
      <c r="E26" s="169" t="s">
        <v>162</v>
      </c>
      <c r="F26" s="170">
        <v>1</v>
      </c>
      <c r="G26" s="170"/>
      <c r="H26" s="170">
        <f>F26*AE26</f>
        <v>0</v>
      </c>
      <c r="I26" s="170">
        <f>J26-H26</f>
        <v>0</v>
      </c>
      <c r="J26" s="170">
        <f>F26*G26</f>
        <v>0</v>
      </c>
      <c r="K26" s="170">
        <v>1.7600000000000001E-2</v>
      </c>
      <c r="L26" s="170">
        <f>F26*K26</f>
        <v>1.7600000000000001E-2</v>
      </c>
      <c r="M26" s="141" t="s">
        <v>267</v>
      </c>
      <c r="N26" s="141" t="s">
        <v>114</v>
      </c>
      <c r="O26" s="136">
        <f>IF(N26="5",I26,0)</f>
        <v>0</v>
      </c>
      <c r="Z26" s="136">
        <f>IF(AD26=0,J26,0)</f>
        <v>0</v>
      </c>
      <c r="AA26" s="136">
        <f>IF(AD26=15,J26,0)</f>
        <v>0</v>
      </c>
      <c r="AB26" s="136">
        <f>IF(AD26=21,J26,0)</f>
        <v>0</v>
      </c>
      <c r="AD26" s="142">
        <v>21</v>
      </c>
      <c r="AE26" s="142">
        <f>G26*0.58242214532872</f>
        <v>0</v>
      </c>
      <c r="AF26" s="142">
        <f>G26*(1-0.58242214532872)</f>
        <v>0</v>
      </c>
      <c r="AM26" s="142">
        <f>F26*AE26</f>
        <v>0</v>
      </c>
      <c r="AN26" s="142">
        <f>F26*AF26</f>
        <v>0</v>
      </c>
      <c r="AO26" s="143" t="s">
        <v>261</v>
      </c>
      <c r="AP26" s="143" t="s">
        <v>260</v>
      </c>
      <c r="AQ26" s="138" t="s">
        <v>245</v>
      </c>
    </row>
    <row r="27" spans="1:43" ht="15" customHeight="1" x14ac:dyDescent="0.2">
      <c r="A27" s="169"/>
      <c r="B27" s="171"/>
      <c r="C27" s="171" t="s">
        <v>220</v>
      </c>
      <c r="D27" s="237" t="s">
        <v>221</v>
      </c>
      <c r="E27" s="238"/>
      <c r="F27" s="238"/>
      <c r="G27" s="238"/>
      <c r="H27" s="172">
        <f>SUM(H28:H28)</f>
        <v>0</v>
      </c>
      <c r="I27" s="172">
        <f>SUM(I28:I28)</f>
        <v>0</v>
      </c>
      <c r="J27" s="172">
        <f>H27+I27</f>
        <v>0</v>
      </c>
      <c r="K27" s="173"/>
      <c r="L27" s="172">
        <f>SUM(L28:L28)</f>
        <v>0.26250000000000001</v>
      </c>
      <c r="M27" s="160"/>
      <c r="P27" s="137">
        <f>IF(Q27="PR",J27,SUM(O28:O28))</f>
        <v>0</v>
      </c>
      <c r="Q27" s="138" t="s">
        <v>242</v>
      </c>
      <c r="R27" s="137">
        <f>IF(Q27="HS",H27,0)</f>
        <v>0</v>
      </c>
      <c r="S27" s="137">
        <f>IF(Q27="HS",I27-P27,0)</f>
        <v>0</v>
      </c>
      <c r="T27" s="137">
        <f>IF(Q27="PS",H27,0)</f>
        <v>0</v>
      </c>
      <c r="U27" s="137">
        <f>IF(Q27="PS",I27-P27,0)</f>
        <v>0</v>
      </c>
      <c r="V27" s="137">
        <f>IF(Q27="MP",H27,0)</f>
        <v>0</v>
      </c>
      <c r="W27" s="137">
        <f>IF(Q27="MP",I27-P27,0)</f>
        <v>0</v>
      </c>
      <c r="X27" s="137">
        <f>IF(Q27="OM",H27,0)</f>
        <v>0</v>
      </c>
      <c r="Y27" s="138"/>
      <c r="AI27" s="137">
        <f>SUM(Z28:Z28)</f>
        <v>0</v>
      </c>
      <c r="AJ27" s="137">
        <f>SUM(AA28:AA28)</f>
        <v>0</v>
      </c>
      <c r="AK27" s="137">
        <f>SUM(AB28:AB28)</f>
        <v>0</v>
      </c>
    </row>
    <row r="28" spans="1:43" ht="15" customHeight="1" x14ac:dyDescent="0.2">
      <c r="A28" s="169" t="s">
        <v>136</v>
      </c>
      <c r="B28" s="169"/>
      <c r="C28" s="169" t="s">
        <v>222</v>
      </c>
      <c r="D28" s="169" t="s">
        <v>223</v>
      </c>
      <c r="E28" s="169" t="s">
        <v>224</v>
      </c>
      <c r="F28" s="170">
        <v>250</v>
      </c>
      <c r="G28" s="170"/>
      <c r="H28" s="170">
        <f>F28*AE28</f>
        <v>0</v>
      </c>
      <c r="I28" s="170">
        <f>J28-H28</f>
        <v>0</v>
      </c>
      <c r="J28" s="170">
        <f>F28*G28</f>
        <v>0</v>
      </c>
      <c r="K28" s="170">
        <v>1.0499999999999999E-3</v>
      </c>
      <c r="L28" s="170">
        <f>F28*K28</f>
        <v>0.26250000000000001</v>
      </c>
      <c r="M28" s="141" t="s">
        <v>267</v>
      </c>
      <c r="N28" s="141" t="s">
        <v>120</v>
      </c>
      <c r="O28" s="136">
        <f>IF(N28="5",I28,0)</f>
        <v>0</v>
      </c>
      <c r="Z28" s="136">
        <f>IF(AD28=0,J28,0)</f>
        <v>0</v>
      </c>
      <c r="AA28" s="136">
        <f>IF(AD28=15,J28,0)</f>
        <v>0</v>
      </c>
      <c r="AB28" s="136">
        <f>IF(AD28=21,J28,0)</f>
        <v>0</v>
      </c>
      <c r="AD28" s="142">
        <v>21</v>
      </c>
      <c r="AE28" s="142">
        <f>G28*0</f>
        <v>0</v>
      </c>
      <c r="AF28" s="142">
        <f>G28*(1-0)</f>
        <v>0</v>
      </c>
      <c r="AM28" s="142">
        <f>F28*AE28</f>
        <v>0</v>
      </c>
      <c r="AN28" s="142">
        <f>F28*AF28</f>
        <v>0</v>
      </c>
      <c r="AO28" s="143" t="s">
        <v>262</v>
      </c>
      <c r="AP28" s="143" t="s">
        <v>263</v>
      </c>
      <c r="AQ28" s="138" t="s">
        <v>245</v>
      </c>
    </row>
    <row r="29" spans="1:43" x14ac:dyDescent="0.2">
      <c r="A29" s="169"/>
      <c r="B29" s="171"/>
      <c r="C29" s="171" t="s">
        <v>228</v>
      </c>
      <c r="D29" s="237" t="s">
        <v>229</v>
      </c>
      <c r="E29" s="238"/>
      <c r="F29" s="238"/>
      <c r="G29" s="238"/>
      <c r="H29" s="172">
        <f>SUM(H30:H30)</f>
        <v>0</v>
      </c>
      <c r="I29" s="172">
        <f>SUM(I30:I30)</f>
        <v>0</v>
      </c>
      <c r="J29" s="172">
        <f>H29+I29</f>
        <v>0</v>
      </c>
      <c r="K29" s="173"/>
      <c r="L29" s="172">
        <f>SUM(L30:L30)</f>
        <v>0</v>
      </c>
      <c r="M29" s="160"/>
      <c r="Z29" s="144">
        <f>SUM(Z13:Z28)</f>
        <v>0</v>
      </c>
      <c r="AA29" s="144">
        <f>SUM(AA13:AA28)</f>
        <v>0</v>
      </c>
      <c r="AB29" s="144">
        <f>SUM(AB13:AB28)</f>
        <v>0</v>
      </c>
    </row>
    <row r="30" spans="1:43" ht="28.5" customHeight="1" x14ac:dyDescent="0.2">
      <c r="A30" s="174" t="s">
        <v>140</v>
      </c>
      <c r="B30" s="174"/>
      <c r="C30" s="174" t="s">
        <v>226</v>
      </c>
      <c r="D30" s="174" t="s">
        <v>227</v>
      </c>
      <c r="E30" s="174" t="s">
        <v>153</v>
      </c>
      <c r="F30" s="175">
        <v>2.4500000000000002</v>
      </c>
      <c r="G30" s="175"/>
      <c r="H30" s="175">
        <f>F30*AE30</f>
        <v>0</v>
      </c>
      <c r="I30" s="175">
        <f>J30-H30</f>
        <v>0</v>
      </c>
      <c r="J30" s="175">
        <f>F30*G30</f>
        <v>0</v>
      </c>
      <c r="K30" s="175">
        <v>0</v>
      </c>
      <c r="L30" s="175">
        <f>F30*K30</f>
        <v>0</v>
      </c>
      <c r="M30" s="161" t="s">
        <v>267</v>
      </c>
    </row>
    <row r="31" spans="1:43" ht="16.5" customHeight="1" x14ac:dyDescent="0.2">
      <c r="A31" s="162"/>
      <c r="B31" s="162"/>
      <c r="C31" s="162"/>
      <c r="D31" s="162"/>
      <c r="E31" s="162"/>
      <c r="F31" s="162"/>
      <c r="G31" s="162"/>
      <c r="H31" s="246" t="s">
        <v>264</v>
      </c>
      <c r="I31" s="247"/>
      <c r="J31" s="163">
        <f>J12+J16+J18+J20+J23+J25+J27+J29</f>
        <v>0</v>
      </c>
      <c r="K31" s="162"/>
      <c r="L31" s="176">
        <f>SUM(L12:L30)/2</f>
        <v>2.4521174999999999</v>
      </c>
      <c r="M31" s="162"/>
    </row>
    <row r="32" spans="1:43" x14ac:dyDescent="0.2">
      <c r="A32" s="164" t="s">
        <v>28</v>
      </c>
    </row>
  </sheetData>
  <mergeCells count="36">
    <mergeCell ref="D25:G25"/>
    <mergeCell ref="D27:G27"/>
    <mergeCell ref="D29:G29"/>
    <mergeCell ref="H31:I31"/>
    <mergeCell ref="K10:L10"/>
    <mergeCell ref="D12:G12"/>
    <mergeCell ref="D16:G16"/>
    <mergeCell ref="D18:G18"/>
    <mergeCell ref="D23:G23"/>
    <mergeCell ref="D20:G20"/>
    <mergeCell ref="A8:C9"/>
    <mergeCell ref="D8:D9"/>
    <mergeCell ref="E8:F9"/>
    <mergeCell ref="G8:H9"/>
    <mergeCell ref="H10:J10"/>
    <mergeCell ref="I8:I9"/>
    <mergeCell ref="J8:M9"/>
    <mergeCell ref="A6:C7"/>
    <mergeCell ref="D6:D7"/>
    <mergeCell ref="E6:F7"/>
    <mergeCell ref="G6:H7"/>
    <mergeCell ref="I6:I7"/>
    <mergeCell ref="J6:M7"/>
    <mergeCell ref="J4:M5"/>
    <mergeCell ref="A1:M1"/>
    <mergeCell ref="A2:C3"/>
    <mergeCell ref="D2:D3"/>
    <mergeCell ref="E2:F3"/>
    <mergeCell ref="G2:H3"/>
    <mergeCell ref="I2:I3"/>
    <mergeCell ref="J2:M3"/>
    <mergeCell ref="A4:C5"/>
    <mergeCell ref="D4:D5"/>
    <mergeCell ref="E4:F5"/>
    <mergeCell ref="G4:H5"/>
    <mergeCell ref="I4:I5"/>
  </mergeCells>
  <pageMargins left="0.7" right="0.7" top="0.78740157499999996" bottom="0.78740157499999996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Rekapitulace stavby</vt:lpstr>
      <vt:lpstr>Sanace vodojemu</vt:lpstr>
      <vt:lpstr>Stavební práce</vt:lpstr>
      <vt:lpstr>'Rekapitulace stavby'!Názvy_tisku</vt:lpstr>
      <vt:lpstr>'Sanace vodojemu'!Názvy_tisku</vt:lpstr>
      <vt:lpstr>'Rekapitulace stavby'!Oblast_tisku</vt:lpstr>
      <vt:lpstr>'Sanace vodojemu'!Oblast_tisku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DESKTOP-7FDLP4E\Radomír Zamazal</dc:creator>
  <cp:lastModifiedBy>Kateřina Svobodová</cp:lastModifiedBy>
  <cp:lastPrinted>2025-10-05T11:06:42Z</cp:lastPrinted>
  <dcterms:created xsi:type="dcterms:W3CDTF">2025-09-16T05:51:45Z</dcterms:created>
  <dcterms:modified xsi:type="dcterms:W3CDTF">2026-02-18T09:00:42Z</dcterms:modified>
</cp:coreProperties>
</file>